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Ramon\Desktop\Ramon (novo)\Prefeitura de Desterro de Melo\2025\Morros Rurais (Livre)  Joinson, Sapo, Tito e Feliz\"/>
    </mc:Choice>
  </mc:AlternateContent>
  <xr:revisionPtr revIDLastSave="0" documentId="13_ncr:1_{1B2EE433-C026-4038-8F4E-67798C43F581}" xr6:coauthVersionLast="47" xr6:coauthVersionMax="47" xr10:uidLastSave="{00000000-0000-0000-0000-000000000000}"/>
  <bookViews>
    <workbookView xWindow="-120" yWindow="-120" windowWidth="20730" windowHeight="11160" activeTab="1" xr2:uid="{7AE578CD-664E-4F8B-A80B-2BD1886CCE66}"/>
  </bookViews>
  <sheets>
    <sheet name="Planilha orçamentária" sheetId="1" r:id="rId1"/>
    <sheet name="BDI" sheetId="5" r:id="rId2"/>
    <sheet name="Composição de custo" sheetId="2" r:id="rId3"/>
    <sheet name="Memória de Cálculo" sheetId="3" r:id="rId4"/>
    <sheet name="C.F.F" sheetId="6" r:id="rId5"/>
  </sheets>
  <definedNames>
    <definedName name="_xlnm.Print_Area" localSheetId="1">BDI!$A$1:$H$60</definedName>
    <definedName name="_xlnm.Print_Area" localSheetId="4">'C.F.F'!$A$1:$N$28</definedName>
    <definedName name="_xlnm.Print_Area" localSheetId="2">'Composição de custo'!$A$1:$G$32</definedName>
    <definedName name="_xlnm.Print_Area" localSheetId="3">'Memória de Cálculo'!$A$1:$L$95</definedName>
    <definedName name="_xlnm.Print_Area" localSheetId="0">'Planilha orçamentária'!$A$1:$I$100</definedName>
    <definedName name="ORÇAMENTO.BancoRef" hidden="1">'Planilha orçamentária'!$F$8</definedName>
    <definedName name="REFERENCIA.Descricao" hidden="1">IF(ISNUMBER('Planilha orçamentária'!$AF1),OFFSET(INDIRECT(ORÇAMENTO.BancoRef),'Planilha orçamentária'!$AF1-1,3,1),'Planilha orçamentária'!$AF1)</definedName>
    <definedName name="_xlnm.Print_Titles" localSheetId="3">'Memória de Cálculo'!$A:$L,'Memória de Cálculo'!$1:$18</definedName>
    <definedName name="_xlnm.Print_Titles" localSheetId="0">'Planilha orçamentária'!$A:$I,'Planilha orçamentária'!$1:$18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G39" i="1"/>
  <c r="G55" i="1"/>
  <c r="G66" i="1"/>
  <c r="G85" i="1"/>
  <c r="D39" i="1"/>
  <c r="G27" i="2"/>
  <c r="G32" i="2"/>
  <c r="G31" i="2"/>
  <c r="G30" i="2"/>
  <c r="G29" i="2"/>
  <c r="G28" i="2"/>
  <c r="B20" i="6"/>
  <c r="A20" i="6"/>
  <c r="B18" i="6"/>
  <c r="A18" i="6"/>
  <c r="A14" i="6"/>
  <c r="B16" i="6"/>
  <c r="A16" i="6"/>
  <c r="F37" i="3"/>
  <c r="F38" i="1" s="1"/>
  <c r="F36" i="3"/>
  <c r="F37" i="1" s="1"/>
  <c r="F40" i="1"/>
  <c r="F25" i="1"/>
  <c r="F27" i="1"/>
  <c r="F28" i="1"/>
  <c r="F30" i="1"/>
  <c r="F31" i="1"/>
  <c r="F32" i="1"/>
  <c r="F34" i="1"/>
  <c r="F24" i="1"/>
  <c r="F29" i="3"/>
  <c r="F29" i="1" s="1"/>
  <c r="F28" i="3"/>
  <c r="F39" i="3"/>
  <c r="F38" i="3"/>
  <c r="F39" i="1" s="1"/>
  <c r="F33" i="3"/>
  <c r="F33" i="1" s="1"/>
  <c r="F27" i="3"/>
  <c r="F26" i="3"/>
  <c r="F26" i="1" s="1"/>
  <c r="G77" i="1"/>
  <c r="G76" i="1"/>
  <c r="G31" i="1"/>
  <c r="G30" i="1"/>
  <c r="G23" i="2"/>
  <c r="G24" i="2"/>
  <c r="G22" i="2" s="1"/>
  <c r="G25" i="2"/>
  <c r="G26" i="2"/>
  <c r="G18" i="2"/>
  <c r="G14" i="2"/>
  <c r="G10" i="2"/>
  <c r="G7" i="2"/>
  <c r="G6" i="2"/>
  <c r="G4" i="2" s="1"/>
  <c r="G8" i="2"/>
  <c r="G9" i="2"/>
  <c r="G11" i="2"/>
  <c r="G12" i="2"/>
  <c r="G13" i="2"/>
  <c r="G15" i="2"/>
  <c r="G16" i="2"/>
  <c r="G17" i="2"/>
  <c r="G19" i="2"/>
  <c r="G20" i="2"/>
  <c r="G21" i="2"/>
  <c r="G5" i="2"/>
  <c r="F72" i="3"/>
  <c r="F75" i="1" s="1"/>
  <c r="F76" i="1"/>
  <c r="F77" i="1"/>
  <c r="F78" i="1"/>
  <c r="F82" i="3"/>
  <c r="F86" i="1" s="1"/>
  <c r="F80" i="3"/>
  <c r="F84" i="1" s="1"/>
  <c r="F79" i="3"/>
  <c r="F83" i="1" s="1"/>
  <c r="F81" i="3"/>
  <c r="F85" i="1" s="1"/>
  <c r="F68" i="3"/>
  <c r="F71" i="1" s="1"/>
  <c r="F67" i="3"/>
  <c r="F70" i="1" s="1"/>
  <c r="F76" i="3"/>
  <c r="F79" i="1" s="1"/>
  <c r="F77" i="3"/>
  <c r="F80" i="1" s="1"/>
  <c r="F70" i="3"/>
  <c r="F71" i="3" s="1"/>
  <c r="F74" i="1" s="1"/>
  <c r="F66" i="1"/>
  <c r="F64" i="3"/>
  <c r="F67" i="1" s="1"/>
  <c r="F62" i="3"/>
  <c r="F65" i="1" s="1"/>
  <c r="F61" i="3"/>
  <c r="F64" i="1" s="1"/>
  <c r="F59" i="1"/>
  <c r="F59" i="3"/>
  <c r="F61" i="1" s="1"/>
  <c r="F57" i="3"/>
  <c r="F58" i="3" s="1"/>
  <c r="F60" i="1" s="1"/>
  <c r="F55" i="1"/>
  <c r="F56" i="1"/>
  <c r="F48" i="1"/>
  <c r="F50" i="1"/>
  <c r="F52" i="3"/>
  <c r="F54" i="1" s="1"/>
  <c r="F51" i="3"/>
  <c r="F53" i="1" s="1"/>
  <c r="F48" i="3"/>
  <c r="F49" i="1" s="1"/>
  <c r="G49" i="3"/>
  <c r="F45" i="3"/>
  <c r="F46" i="3" s="1"/>
  <c r="F47" i="1" s="1"/>
  <c r="F43" i="3"/>
  <c r="F44" i="3" s="1"/>
  <c r="F45" i="1" s="1"/>
  <c r="F42" i="3"/>
  <c r="F43" i="1" s="1"/>
  <c r="F22" i="3"/>
  <c r="F22" i="1" s="1"/>
  <c r="F69" i="3" l="1"/>
  <c r="F72" i="1" s="1"/>
  <c r="F73" i="1"/>
  <c r="F46" i="1"/>
  <c r="F44" i="1"/>
  <c r="C94" i="3"/>
  <c r="C93" i="3"/>
  <c r="F87" i="3"/>
  <c r="C88" i="3"/>
  <c r="C87" i="3"/>
  <c r="A11" i="6"/>
  <c r="B14" i="6" l="1"/>
  <c r="F60" i="3"/>
  <c r="D28" i="6" l="1"/>
  <c r="D27" i="6"/>
  <c r="C27" i="6"/>
  <c r="B28" i="6"/>
  <c r="B27" i="6"/>
  <c r="I12" i="6"/>
  <c r="I11" i="6"/>
  <c r="D12" i="6"/>
  <c r="A12" i="6"/>
  <c r="A3" i="6"/>
  <c r="A2" i="6"/>
  <c r="A4" i="6"/>
  <c r="A5" i="6"/>
  <c r="A1" i="6"/>
  <c r="O20" i="6"/>
  <c r="O18" i="6"/>
  <c r="O16" i="6"/>
  <c r="O14" i="6"/>
  <c r="D52" i="5"/>
  <c r="A58" i="5"/>
  <c r="A57" i="5"/>
  <c r="A53" i="5"/>
  <c r="A52" i="5"/>
  <c r="F10" i="5"/>
  <c r="A13" i="5"/>
  <c r="A12" i="5"/>
  <c r="A11" i="5"/>
  <c r="A10" i="5"/>
  <c r="A9" i="5"/>
  <c r="A6" i="5"/>
  <c r="A6" i="3" s="1"/>
  <c r="A5" i="5"/>
  <c r="A5" i="3" s="1"/>
  <c r="A4" i="5"/>
  <c r="A4" i="3" s="1"/>
  <c r="A3" i="5"/>
  <c r="A3" i="3" s="1"/>
  <c r="A2" i="5"/>
  <c r="A2" i="3" s="1"/>
  <c r="C44" i="5"/>
  <c r="D42" i="5"/>
  <c r="C42" i="5"/>
  <c r="D33" i="5"/>
  <c r="D44" i="5" s="1"/>
  <c r="G16" i="3"/>
  <c r="H15" i="3"/>
  <c r="G15" i="3"/>
  <c r="G14" i="3"/>
  <c r="G13" i="3"/>
  <c r="A16" i="3"/>
  <c r="A15" i="3"/>
  <c r="A14" i="3"/>
  <c r="A13" i="3"/>
  <c r="A12" i="3"/>
  <c r="A11" i="3"/>
  <c r="C45" i="5" l="1"/>
  <c r="H13" i="5" s="1"/>
  <c r="I16" i="1" s="1"/>
  <c r="H22" i="1" s="1"/>
  <c r="I22" i="1" s="1"/>
  <c r="I21" i="1" s="1"/>
  <c r="D45" i="5"/>
  <c r="H75" i="1" l="1"/>
  <c r="I75" i="1" s="1"/>
  <c r="H26" i="1"/>
  <c r="I26" i="1" s="1"/>
  <c r="H30" i="1"/>
  <c r="I30" i="1" s="1"/>
  <c r="H34" i="1"/>
  <c r="I34" i="1" s="1"/>
  <c r="H27" i="1"/>
  <c r="I27" i="1" s="1"/>
  <c r="H31" i="1"/>
  <c r="I31" i="1" s="1"/>
  <c r="H25" i="1"/>
  <c r="I25" i="1" s="1"/>
  <c r="H33" i="1"/>
  <c r="I33" i="1" s="1"/>
  <c r="H28" i="1"/>
  <c r="I28" i="1" s="1"/>
  <c r="H32" i="1"/>
  <c r="I32" i="1" s="1"/>
  <c r="H29" i="1"/>
  <c r="I29" i="1" s="1"/>
  <c r="H24" i="1"/>
  <c r="I24" i="1" s="1"/>
  <c r="I23" i="1" s="1"/>
  <c r="H37" i="1"/>
  <c r="I37" i="1" s="1"/>
  <c r="H16" i="3"/>
  <c r="H72" i="1"/>
  <c r="I72" i="1" s="1"/>
  <c r="H77" i="1"/>
  <c r="I77" i="1" s="1"/>
  <c r="H59" i="1"/>
  <c r="I59" i="1" s="1"/>
  <c r="H71" i="1"/>
  <c r="I71" i="1" s="1"/>
  <c r="H73" i="1"/>
  <c r="I73" i="1" s="1"/>
  <c r="H78" i="1"/>
  <c r="I78" i="1" s="1"/>
  <c r="H60" i="1"/>
  <c r="I60" i="1" s="1"/>
  <c r="H74" i="1"/>
  <c r="I74" i="1" s="1"/>
  <c r="H79" i="1"/>
  <c r="I79" i="1" s="1"/>
  <c r="H61" i="1"/>
  <c r="I61" i="1" s="1"/>
  <c r="H76" i="1"/>
  <c r="I76" i="1" s="1"/>
  <c r="H80" i="1"/>
  <c r="I80" i="1" s="1"/>
  <c r="H46" i="1"/>
  <c r="I46" i="1" s="1"/>
  <c r="H50" i="1"/>
  <c r="I50" i="1" s="1"/>
  <c r="H47" i="1"/>
  <c r="I47" i="1" s="1"/>
  <c r="H43" i="1"/>
  <c r="I43" i="1" s="1"/>
  <c r="H44" i="1"/>
  <c r="I44" i="1" s="1"/>
  <c r="H48" i="1"/>
  <c r="I48" i="1" s="1"/>
  <c r="H45" i="1"/>
  <c r="I45" i="1" s="1"/>
  <c r="H49" i="1"/>
  <c r="I49" i="1" s="1"/>
  <c r="H38" i="1"/>
  <c r="I38" i="1" s="1"/>
  <c r="H85" i="1"/>
  <c r="I85" i="1" s="1"/>
  <c r="H65" i="1"/>
  <c r="I65" i="1" s="1"/>
  <c r="H67" i="1"/>
  <c r="I67" i="1" s="1"/>
  <c r="H64" i="1"/>
  <c r="I64" i="1" s="1"/>
  <c r="H86" i="1"/>
  <c r="I86" i="1" s="1"/>
  <c r="H84" i="1"/>
  <c r="I84" i="1" s="1"/>
  <c r="H83" i="1"/>
  <c r="I83" i="1" s="1"/>
  <c r="H70" i="1"/>
  <c r="I70" i="1" s="1"/>
  <c r="H66" i="1"/>
  <c r="I66" i="1" s="1"/>
  <c r="H55" i="1"/>
  <c r="I55" i="1" s="1"/>
  <c r="H54" i="1"/>
  <c r="I54" i="1" s="1"/>
  <c r="H53" i="1"/>
  <c r="I53" i="1" s="1"/>
  <c r="H56" i="1"/>
  <c r="I56" i="1" s="1"/>
  <c r="H40" i="1"/>
  <c r="I40" i="1" s="1"/>
  <c r="H39" i="1"/>
  <c r="I39" i="1" s="1"/>
  <c r="I81" i="1" l="1"/>
  <c r="I69" i="1"/>
  <c r="I68" i="1" s="1"/>
  <c r="I62" i="1"/>
  <c r="I58" i="1"/>
  <c r="I57" i="1" s="1"/>
  <c r="D19" i="6" s="1"/>
  <c r="I51" i="1"/>
  <c r="I42" i="1"/>
  <c r="I41" i="1" s="1"/>
  <c r="D17" i="6" s="1"/>
  <c r="I35" i="1"/>
  <c r="H19" i="6" l="1"/>
  <c r="G19" i="6"/>
  <c r="F19" i="6"/>
  <c r="H17" i="6"/>
  <c r="F17" i="6"/>
  <c r="G17" i="6"/>
  <c r="I20" i="1"/>
  <c r="D15" i="6" s="1"/>
  <c r="E15" i="6" s="1"/>
  <c r="E17" i="6"/>
  <c r="E19" i="6"/>
  <c r="D21" i="6"/>
  <c r="I87" i="1" l="1"/>
  <c r="H21" i="6"/>
  <c r="H23" i="6" s="1"/>
  <c r="I21" i="6"/>
  <c r="I23" i="6" s="1"/>
  <c r="G21" i="6"/>
  <c r="D23" i="6"/>
  <c r="E23" i="6"/>
  <c r="F21" i="6"/>
  <c r="I22" i="6" l="1"/>
  <c r="O21" i="6"/>
  <c r="D14" i="6"/>
  <c r="H22" i="6"/>
  <c r="O19" i="6"/>
  <c r="P19" i="6" s="1"/>
  <c r="G23" i="6"/>
  <c r="E22" i="6" l="1"/>
  <c r="G22" i="6"/>
  <c r="P21" i="6"/>
  <c r="O15" i="6" l="1"/>
  <c r="P15" i="6" s="1"/>
  <c r="F22" i="6" l="1"/>
  <c r="F23" i="6"/>
  <c r="O23" i="6" s="1"/>
  <c r="O17" i="6"/>
  <c r="P17" i="6" s="1"/>
  <c r="F11" i="6" l="1"/>
  <c r="P23" i="6" l="1"/>
  <c r="D20" i="6"/>
  <c r="P20" i="6" s="1"/>
  <c r="D16" i="6"/>
  <c r="P16" i="6" s="1"/>
  <c r="D18" i="6"/>
  <c r="P18" i="6" s="1"/>
  <c r="D22" i="6" l="1"/>
  <c r="O22" i="6"/>
  <c r="P22" i="6" l="1"/>
</calcChain>
</file>

<file path=xl/sharedStrings.xml><?xml version="1.0" encoding="utf-8"?>
<sst xmlns="http://schemas.openxmlformats.org/spreadsheetml/2006/main" count="850" uniqueCount="311">
  <si>
    <t>ANEXO I - PLANILHA ORÇAMENTÁRIA</t>
  </si>
  <si>
    <t xml:space="preserve">FORMA DE EXECUÇÃO: </t>
  </si>
  <si>
    <t>( X )</t>
  </si>
  <si>
    <t>BDI</t>
  </si>
  <si>
    <t>ITEM</t>
  </si>
  <si>
    <t>CÓDIGO</t>
  </si>
  <si>
    <t>REFERÊNCIA</t>
  </si>
  <si>
    <t>DESCRIÇÃO</t>
  </si>
  <si>
    <t>UNID.</t>
  </si>
  <si>
    <t>QUANTIDADE</t>
  </si>
  <si>
    <t>PREÇO UNITÁRIO</t>
  </si>
  <si>
    <t>PREÇO UNITÁRIO C/BDI</t>
  </si>
  <si>
    <t>PREÇO TOTAL</t>
  </si>
  <si>
    <t>1.1</t>
  </si>
  <si>
    <t>m²</t>
  </si>
  <si>
    <t>un</t>
  </si>
  <si>
    <t>1.2</t>
  </si>
  <si>
    <t>2.1</t>
  </si>
  <si>
    <t>SINAPI</t>
  </si>
  <si>
    <t>2.2</t>
  </si>
  <si>
    <t>m³</t>
  </si>
  <si>
    <t>m</t>
  </si>
  <si>
    <t>L</t>
  </si>
  <si>
    <t xml:space="preserve">ANEXO III MEMÓRIA DE CÁLCULO </t>
  </si>
  <si>
    <t>INDIRETA</t>
  </si>
  <si>
    <t>QUANT.</t>
  </si>
  <si>
    <t>MEMÓRIA</t>
  </si>
  <si>
    <t>(  ) DIRETA</t>
  </si>
  <si>
    <t>=1,2*2,4</t>
  </si>
  <si>
    <t>88316</t>
  </si>
  <si>
    <t>SERVENTE COM ENCARGOS COMPLEMENTARES</t>
  </si>
  <si>
    <t>001</t>
  </si>
  <si>
    <t>002</t>
  </si>
  <si>
    <t>TOTAL GERAL DA OBRA</t>
  </si>
  <si>
    <t>(    )</t>
  </si>
  <si>
    <t>DIRETA</t>
  </si>
  <si>
    <t>ANEXO II - DEMONSTRATIVO DO BDI - COM DESONERAÇÃO</t>
  </si>
  <si>
    <t>BDI (CONFORME ACÓRDÃO Nº 2622/13 e LEI Nº 13.161 DE 31/08/15)</t>
  </si>
  <si>
    <t>MATERIAL</t>
  </si>
  <si>
    <t>INCIDÊNCIA</t>
  </si>
  <si>
    <t>CUSTO DIRETO</t>
  </si>
  <si>
    <t>CD</t>
  </si>
  <si>
    <t>ADMINISTRAÇÃO CENTRAL</t>
  </si>
  <si>
    <t>AC</t>
  </si>
  <si>
    <t>LUCRO BRUTO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</si>
  <si>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</si>
  <si>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</si>
  <si>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</si>
  <si>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</si>
  <si>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</si>
  <si>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</si>
  <si>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</si>
  <si>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</si>
  <si>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</si>
  <si>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</si>
  <si>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</si>
  <si>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t>PIS</t>
  </si>
  <si>
    <t>COFINS</t>
  </si>
  <si>
    <t>CPRB</t>
  </si>
  <si>
    <t>INSS</t>
  </si>
  <si>
    <t>FÓRMULA DO BDI</t>
  </si>
  <si>
    <t>BDI      =</t>
  </si>
  <si>
    <t>(1 + (AC + S + G + R)) x (1 + DF) x  (1 + L)</t>
  </si>
  <si>
    <t>(1 - (I + CPRB))</t>
  </si>
  <si>
    <t>BDI(NUMERADOR)</t>
  </si>
  <si>
    <t>BDI(DENOMINADOR)</t>
  </si>
  <si>
    <t>FONTE</t>
  </si>
  <si>
    <t>UNIDADE</t>
  </si>
  <si>
    <t>COEFIC.</t>
  </si>
  <si>
    <t>CUSTO UNITÁRIO</t>
  </si>
  <si>
    <t>CUSTO TOTAL</t>
  </si>
  <si>
    <t>COMPOSIÇÕES DE CUSTOS</t>
  </si>
  <si>
    <t>A N E X O  IV</t>
  </si>
  <si>
    <t>CRONOGRAMA FÍSICO-FINANCEIRO</t>
  </si>
  <si>
    <t>VALOR :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</si>
  <si>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</si>
  <si>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</si>
  <si>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</si>
  <si>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</si>
  <si>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</si>
  <si>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</si>
  <si>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</si>
  <si>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</si>
  <si>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</si>
  <si>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</si>
  <si>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</si>
  <si>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Físico %</t>
  </si>
  <si>
    <t>Financeiro</t>
  </si>
  <si>
    <t>TOTAL</t>
  </si>
  <si>
    <t>COMPOSIÇÃO</t>
  </si>
  <si>
    <t>MÊS 9</t>
  </si>
  <si>
    <t>MÊS 10</t>
  </si>
  <si>
    <t>=sede + vermelho + paraiso = 616,14+413,40+440,19</t>
  </si>
  <si>
    <t>1.3</t>
  </si>
  <si>
    <t>SETOP</t>
  </si>
  <si>
    <t>SERVIÇOS PRELIMINARES</t>
  </si>
  <si>
    <t>Composição</t>
  </si>
  <si>
    <t>KG</t>
  </si>
  <si>
    <t>CHP</t>
  </si>
  <si>
    <t>CHI</t>
  </si>
  <si>
    <t>PEDREIRO COM ENCARGOS COMPLEMENTARES</t>
  </si>
  <si>
    <t>H</t>
  </si>
  <si>
    <t>88309</t>
  </si>
  <si>
    <t>CONCRETO FCK = 25MPA, TRAÇO 1:2,3:2,7 (EM MASSA SECA DE CIMENTO/ AREIA MÉDIA/ BRITA 1) - PREPARO MECÂNICO COM BETONEIRA 400 L. AF_05/2021</t>
  </si>
  <si>
    <t>EXECUÇÃO DE SARJETA DE CONCRETO USINADO, MOLDADA IN LOCO EM TRECHO RETO, 30 CM BASE X 10 CM ALTURA. AF_01/2024</t>
  </si>
  <si>
    <t>94287</t>
  </si>
  <si>
    <t>1.0</t>
  </si>
  <si>
    <t>3.1</t>
  </si>
  <si>
    <t>3.1.1</t>
  </si>
  <si>
    <t>3.1.2</t>
  </si>
  <si>
    <t>3.1.3</t>
  </si>
  <si>
    <t>3.2</t>
  </si>
  <si>
    <t>3.2.1</t>
  </si>
  <si>
    <t>3.2.2</t>
  </si>
  <si>
    <t>4.1</t>
  </si>
  <si>
    <t>4.2</t>
  </si>
  <si>
    <t>CONVENENTE: DESTERRO DO MELO-MG</t>
  </si>
  <si>
    <t>OBJETO: CALÇAMENTO DE VIAS RURAIS</t>
  </si>
  <si>
    <t>LOCAL:  MORRO DO JOÃO SAPO, TITO II, MORRO DO JOILSON E DO FÉLIX</t>
  </si>
  <si>
    <t>DATA: 22/04/2025</t>
  </si>
  <si>
    <t>FORNECIMENTO E INSTALAÇÃO DE PLACA DE OBRA COM CHAPA GALVANIZADA E ESTRUTURA DE MADEIRA. AF_03/2022_PS</t>
  </si>
  <si>
    <t>103689</t>
  </si>
  <si>
    <t>MORRO DO JOÃO SAPO</t>
  </si>
  <si>
    <t>DRENAGEM</t>
  </si>
  <si>
    <t>TUBO DE CONCRETO PARA REDES COLETORAS DE ÁGUAS PLUVIAIS, DIÂMETRO DE 400 MM, JUNTA RÍGIDA, INSTALADO EM LOCAL COM ALTO NÍVEL DE INTERFERÊNCIAS - FORNECIMENTO E ASSENTAMENTO. AF_03/2024</t>
  </si>
  <si>
    <t>92219</t>
  </si>
  <si>
    <t>ESCAVAÇÃO MECANIZADA DE VALA COM PROF. ATÉ 1,5 M (MÉDIA MONTANTE E JUSANTE/UMA COMPOSIÇÃO
POR TRECHO), RETROESCAV. (0,26 M3), LARG. DE 0,8 M A 1,5 M, EM SOLO DE 1A CATEGORIA, EM LOCAIS COM
ALTO NÍVEL DE INTERFERÊNCIA. AF_09/2024</t>
  </si>
  <si>
    <t>90100</t>
  </si>
  <si>
    <t>104734</t>
  </si>
  <si>
    <t>REATERRO MECANIZADO DE VALA COM RETROESCAVADEIRA (CAPACIDADE DA CAÇAMBA DA RETRO: 0,26 M³/POTÊNCIA: 88 HP), LARGURA DE 0,8 A 1,5 M, PROFUNDIDADE ATÉ 1,5 M, COM SOLO (SEM SUBSTITUIÇÃO) DE 1ª CATEGORIA, COM PLACA VIBRATÓRIA. AF_08/2023</t>
  </si>
  <si>
    <t>94273</t>
  </si>
  <si>
    <t>ASSENTAMENTO DE GUIA (MEIO-FIO) EM TRECHO RETO, CONFECCIONADA EM CONCRETO PRÉ-FABRICADO, DIMENSÕES 100X15X13X30 CM (COMPRIMENTO X BASE INFERIOR X BASE SUPERIOR X ALTURA). AF_01/2024</t>
  </si>
  <si>
    <t>CAIXA DE CAPTÇÃO DE DRENAGEM</t>
  </si>
  <si>
    <t>TAMPA DE CONCRETO 1X1 PARA CAIXA DE DRENAGEM</t>
  </si>
  <si>
    <t>CAIXA COM GRELHA RETANGULAR DE FERRO FUNDIDO, EM ALVENARIA COM BLOCOS DE CONCRETO, DIMENSÕESINTERNAS: 0,30 X 1,00 X 1,00. AF_12/2020</t>
  </si>
  <si>
    <t>101801</t>
  </si>
  <si>
    <t>UN</t>
  </si>
  <si>
    <t>PAVIMENTAÇÃO</t>
  </si>
  <si>
    <t>103928</t>
  </si>
  <si>
    <t>BACIA DE DISSIPAÇÃO, TIPO BACIA EM PEDRA DE MÃO ARGAMASSADA (DES 01, 02, 03, 04), LANÇADO
MANUALMENTE, INCLUINDO MATERIAIS E FÔRMAS (2 UTILIZAÇÕES). AF_08/2022</t>
  </si>
  <si>
    <t>ALA DE REDE TUBULAR DN 500, EXCLUSIVE BOTA FORA</t>
  </si>
  <si>
    <t>ED-48539</t>
  </si>
  <si>
    <t>95877</t>
  </si>
  <si>
    <t>95427</t>
  </si>
  <si>
    <t>101170</t>
  </si>
  <si>
    <t>94277</t>
  </si>
  <si>
    <t>TRANSPORTE COM CAMINHÃO BASCULANTE DE 18 M³, EM VIA URBANA PAVIMENTADA, DMT ATÉ 30 KM (UNIDADE:M3XKM). AF_07/2020</t>
  </si>
  <si>
    <t>m³xkm</t>
  </si>
  <si>
    <t>TRANSPORTE COM CAMINHÃO BASCULANTE DE 18 M³, EM VIA URBANA PAVIMENTADA, ADICIONAL PARA DMT
EXCEDENTE A 30 KM (UNIDADE: M3XKM). AF_07/2020</t>
  </si>
  <si>
    <t>EXECUÇÃO DE PAVIMENTO EM PEDRAS POLIÉDRICAS, REJUNTAMENTO COM PÓ DE PEDRA. AF_05/2020</t>
  </si>
  <si>
    <t>ASSENTAMENTO DE GUIA (MEIO-FIO) EM TRECHO RETO, CONFECCIONADA EM CONCRETO PRÉ-FABRICADO,DIMENSÕES 80X08X08X25 CM (COMPRIMENTO X BASE INFERIOR X BASE SUPERIOR X ALTURA). AF_01/2024</t>
  </si>
  <si>
    <t>MORRO DO JOILSON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</si>
  <si>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</si>
  <si>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</si>
  <si>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</si>
  <si>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</si>
  <si>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</si>
  <si>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</si>
  <si>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</si>
  <si>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</si>
  <si>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</si>
  <si>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</si>
  <si>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1.3.1</t>
  </si>
  <si>
    <t>1.3.2</t>
  </si>
  <si>
    <t>1.3.3</t>
  </si>
  <si>
    <t>1.3.4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</si>
  <si>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</si>
  <si>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</si>
  <si>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</si>
  <si>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</si>
  <si>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</si>
  <si>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</si>
  <si>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</si>
  <si>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</si>
  <si>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</si>
  <si>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</si>
  <si>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</si>
  <si>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</si>
  <si>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MORRO DO FELIX</t>
  </si>
  <si>
    <t>3.2.3</t>
  </si>
  <si>
    <t>3.2.4</t>
  </si>
  <si>
    <t>MORRO DO TITO PART. II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</si>
  <si>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</si>
  <si>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</si>
  <si>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</si>
  <si>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</si>
  <si>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</si>
  <si>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</si>
  <si>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</si>
  <si>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</si>
  <si>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</si>
  <si>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</si>
  <si>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</si>
  <si>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</si>
  <si>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</si>
  <si>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</si>
  <si>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 xml:space="preserve">REFERÊNCIA:  SINAPI-MG 03/2025, SICOR-MG 01/2025 </t>
  </si>
  <si>
    <t>= 1,2 x 2,4</t>
  </si>
  <si>
    <t xml:space="preserve">=2 X 7 </t>
  </si>
  <si>
    <t>=14*1,0*0,8= CXPROFXLARG</t>
  </si>
  <si>
    <t>=ITEM 2.1.2 - TUBO= 14*1,0*0,8-(3,14*0,2*0,2*14)</t>
  </si>
  <si>
    <t>=(3,53+5,03+7,49+20,63+22,78+3,33+13,26+18,92+15,34+12,19+8,52+10,91+37,35+29,94+19,46+12,70+23,92+18,55+8,71)*2</t>
  </si>
  <si>
    <t>=ITEM 2.1.4 - 3,33</t>
  </si>
  <si>
    <t>=4</t>
  </si>
  <si>
    <t>=AREA SOFTWARE = 1473,32</t>
  </si>
  <si>
    <t>=(0,8*0,6*0,2)*2=CXLXESPESXQTIDADE</t>
  </si>
  <si>
    <t>Transporte de pedras + areia + pó de pedra = espessura do material x area² de pavimentaçao x km da jazida excendete a 30km,=(0,08+0,06+0,02)*(1473,32)*16,2</t>
  </si>
  <si>
    <t xml:space="preserve">Transporte de pedras + areia + pó de pedra = espessura do material x area² de pavimentaçao x km da jazida até 30 km,= (0,08+0,06+ 0,02)*(1473,32)*30 </t>
  </si>
  <si>
    <t>=6+6</t>
  </si>
  <si>
    <t>=(17,82+22,83+38,68+23,91+14,49+2,57+3+1,54)*2</t>
  </si>
  <si>
    <t>=Meio fio - (3+1,54)*2</t>
  </si>
  <si>
    <t>=0,8*0,6*0,2*2</t>
  </si>
  <si>
    <t>= area software = 621,28</t>
  </si>
  <si>
    <t xml:space="preserve">Transporte de pedras + areia + pó de pedra = espessura do material x area² de pavimentaçao x km da jazida até 30 km,= (0,08+0,06+ 0,02)*(621,28)*30 </t>
  </si>
  <si>
    <t>Transporte de pedras + areia + pó de pedra = espessura do material x area² de pavimentaçao x km da jazida excendete a 30km,=(0,08+0,06+0,02)*(621,28)*16,2</t>
  </si>
  <si>
    <t>= 5,38+6</t>
  </si>
  <si>
    <t>=(3,60+7,95+3,96+29,82+3,15+8,17+8,49+8,20+11,51+14,07+16,63+14,10+20,47+2,47+3,63+2,47+27,68+44,85)*2</t>
  </si>
  <si>
    <t>= meio fio - (2,47+3,63+2,47)</t>
  </si>
  <si>
    <t>=6</t>
  </si>
  <si>
    <t>=0,8*1,0*6</t>
  </si>
  <si>
    <t>=item anterio - tubo =0,8*1*6-3,14*0,2*0,2*6</t>
  </si>
  <si>
    <t>=1172,17</t>
  </si>
  <si>
    <t xml:space="preserve">Transporte de pedras + areia + pó de pedra = espessura do material x area² de pavimentaçao x km da jazida até 30 km,= (0,08+0,06+ 0,02)*(1172,17)*30 </t>
  </si>
  <si>
    <t>=6+4+</t>
  </si>
  <si>
    <t>DRENO SUBSUPERFICIAL (SEÇÃO 0,40 X 0,40 M), COM TUBO DE PEAD CORRUGADO PERFURADO, DN 100 MM,
ENCHIMENTO COM BRITA, ENVOLVIDO COM MANTA GEOTÊXTIL. AF_07/2021</t>
  </si>
  <si>
    <t>4.1.11</t>
  </si>
  <si>
    <t>102666</t>
  </si>
  <si>
    <t>=4,96+12,34+16,07+9,22+45,78</t>
  </si>
  <si>
    <t>Caixa de captção de drenagem com  abertura laterais</t>
  </si>
  <si>
    <t>101616</t>
  </si>
  <si>
    <t>94970</t>
  </si>
  <si>
    <t>89998</t>
  </si>
  <si>
    <t>89995</t>
  </si>
  <si>
    <t>88628</t>
  </si>
  <si>
    <t>87316</t>
  </si>
  <si>
    <t>SINAPI-I</t>
  </si>
  <si>
    <t>25067</t>
  </si>
  <si>
    <t>6193</t>
  </si>
  <si>
    <t>5679</t>
  </si>
  <si>
    <t>5678</t>
  </si>
  <si>
    <t>5069</t>
  </si>
  <si>
    <t>4517</t>
  </si>
  <si>
    <t>4491</t>
  </si>
  <si>
    <t>2692</t>
  </si>
  <si>
    <t>660</t>
  </si>
  <si>
    <t>PREPARO DE FUNDO DE VALA COM LARGURA MENOR QUE 1,5 M (ACERTO DO SOLO NATURAL). AF_08/2020</t>
  </si>
  <si>
    <t>M2</t>
  </si>
  <si>
    <t>CONCRETO FCK = 20MPA, TRAÇO 1:2,7:3 (EM MASSA SECA DE CIMENTO/ AREIA MÉDIA/ BRITA 1) - PREPARO MECÂNICO COM BETONEIRA 600 L. AF_05/2021</t>
  </si>
  <si>
    <t>M3</t>
  </si>
  <si>
    <t>ARMAÇÃO DE CINTA DE ALVENARIA ESTRUTURAL; DIÂMETRO DE 10,0 MM. AF_09/2021</t>
  </si>
  <si>
    <t>GRAUTEAMENTO DE CINTA SUPERIOR OU DE VERGA EM ALVENARIA ESTRUTURAL. AF_09/2021</t>
  </si>
  <si>
    <t>ARGAMASSA TRAÇO 1:3 (EM VOLUME DE CIMENTO E AREIA MÉDIA ÚMIDA), PREPARO MECÂNICO COM BETONEIRA 400 L. AF_08/2019</t>
  </si>
  <si>
    <t>ARGAMASSA TRAÇO 1:4 (EM VOLUME DE CIMENTO E AREIA GROSSA ÚMIDA) PARA CHAPISCO CONVENCIONAL, PREPARO MECÂNICO COM BETONEIRA 400 L. AF_08/2019</t>
  </si>
  <si>
    <t>BLOCO DE CONCRETO ESTRUTURAL 19 X 19 X 39 CM, FBK 4,5 MPA (NBR 6136)</t>
  </si>
  <si>
    <t>TABUA NAO APARELHADA *2,5 X 20* CM, EM MACARANDUBA/MASSARANDUBA, ANGELIM OU EQUIVALENTE DA REGIAO - BRUTA</t>
  </si>
  <si>
    <t>M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</si>
  <si>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</si>
  <si>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</si>
  <si>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PREGO DE ACO POLIDO COM CABECA 17 X 27 (2 1/2 X 11)</t>
  </si>
  <si>
    <t>SARRAFO *2,5 X 7,5* CM EM PINUS, MISTA OU EQUIVALENTE DA REGIAO - BRUTA</t>
  </si>
  <si>
    <t>PONTALETE *7,5 X 7,5* CM EM PINUS, MISTA OU EQUIVALENTE DA REGIAO - BRUTA</t>
  </si>
  <si>
    <t>DESMOLDANTE PROTETOR PARA FORMAS DE MADEIRA, DE BASE OLEOSA EMULSIONADA EM AGUA</t>
  </si>
  <si>
    <t>CANALETA DE CONCRETO 19 X 19 X 19 CM (CLASSE C - NBR 6136)</t>
  </si>
  <si>
    <t>Tampa de concreto armado 1x1x0,1</t>
  </si>
  <si>
    <t>92768</t>
  </si>
  <si>
    <t>94965</t>
  </si>
  <si>
    <t>ARMAÇÃO DE LAJE DE ESTRUTURA CONVENCIONAL DE CONCRETO ARMADO UTILIZANDO AÇO CA-60 DE 5,0 MM - MONTAGEM. AF_06/2022</t>
  </si>
  <si>
    <t>TUBO DE CONCRETO PARA REDES COLETORAS DE ÁGUAS PLUVIAIS, DIÂMETRO DE 300MM, JUNTA RÍGIDA,
INSTALADO EM LOCAL COM BAIXO NÍVEL DE INTERFERÊNCIAS - FORNECIMENTO E ASSENTAMENTO. AF_03/2024</t>
  </si>
  <si>
    <t>1.2.11</t>
  </si>
  <si>
    <t>TUBO DE CONCRETO PARA REDES COLETORAS DE ÁGUAS PLUVIAIS, DIÂMETRO DE 300MM, JUNTA RÍGIDA, INSTALADO EM LOCAL COM BAIXO NÍVEL DE INTERFERÊNCIAS - FORNECIMENTO E ASSENTAMENTO. AF_03/2024</t>
  </si>
  <si>
    <t>=12,35</t>
  </si>
  <si>
    <t>=(6+12,35)*1,0*0,75= CXPROFXLARG</t>
  </si>
  <si>
    <t>=ITEM 1.2.2 - TUBO= (6+12,35)*1*0,75-(3,14*0,2*0,2*12,35+3,14*0,15*0,15*6)</t>
  </si>
  <si>
    <t>=(0,8*0,6*0,2)=CXLXESPESXQTIDADE</t>
  </si>
  <si>
    <t>=AREA SOFTWARE = 775,84</t>
  </si>
  <si>
    <t>=6+6+12,35</t>
  </si>
  <si>
    <t>=4,84+4,32+1,94+1,62+7,30+17,29+16,84+15,52+16,24+4,17+4,22+8,34+8,34+4,99+4,92+20,57+20,82+13,55+1,92+8,01+2,45+6,5+5,07+5,77+4,15+5,03+5,09+5,10+11,01+11,81+27,18+14,72</t>
  </si>
  <si>
    <t>=289,64-(4,84+4,32+1,94+1,62)</t>
  </si>
  <si>
    <t xml:space="preserve">Transporte de pedras + areia + pó de pedra = espessura do material x area² de pavimentaçao x km da jazida até 30 km,= (0,08+0,06+ 0,02)*(775,84)*30 </t>
  </si>
  <si>
    <t>Transporte de pedras + areia + pó de pedra = espessura do material x area² de pavimentaçao x km da jazida excendete a 30km,=(0,08+0,06+0,02)*(775,84)*13,5</t>
  </si>
  <si>
    <r>
      <t>OBR</t>
    </r>
    <r>
      <rPr>
        <sz val="16"/>
        <rFont val="Calibri"/>
        <family val="2"/>
        <scheme val="minor"/>
      </rPr>
      <t xml:space="preserve">A RODOVIÁRIA </t>
    </r>
  </si>
  <si>
    <t>(ISS = 2%)</t>
  </si>
  <si>
    <t>2.0</t>
  </si>
  <si>
    <t>3.0</t>
  </si>
  <si>
    <t>4.0</t>
  </si>
  <si>
    <t>REGULARIZAÇÃO E COMPACTAÇÃO DE SUBLEITO DE SOLO PREDOMINANTEMENTE ARGILOSO, PARA OBRAS DE CONSTRUÇÃO DE PAVIMENTOS. AF_09/2024</t>
  </si>
  <si>
    <t>100576</t>
  </si>
  <si>
    <t>A CARGO DA PREFEITURA</t>
  </si>
  <si>
    <t>1.3.5</t>
  </si>
  <si>
    <t>2.2.5</t>
  </si>
  <si>
    <t>3.2.5</t>
  </si>
  <si>
    <t>4.2.5</t>
  </si>
  <si>
    <t>EXECUÇÃO DE PAVIMENTO EM PEDRAS POLIÉDRICAS, REJUNTAMENTO COM PÓ DE PEDRA. AF_05/2020- adaptado</t>
  </si>
  <si>
    <t>003 (101170)</t>
  </si>
  <si>
    <t>AREIA GROSSA - POSTO JAZIDA/FORNECEDOR (RETIRADO NA JAZIDA, SEM TRANSPORTE)</t>
  </si>
  <si>
    <t>PO DE PEDRA (POSTO PEDREIRA/FORNECEDOR, SEM FRETE)</t>
  </si>
  <si>
    <t>PEDRA GRANITICA OU BASALTICA IRREGULAR, FAIXA GRANULOMETRICA 100 A 150 MM PARA PAVIMENTACAO OU CALCAMENTO POLIEDRICO, POSTO PEDREIRA / FORNECEDOR (SEM FRETE)</t>
  </si>
  <si>
    <t>CALCETEIRO COM ENCARGOS COMPLEMENTARES</t>
  </si>
  <si>
    <t/>
  </si>
  <si>
    <t>88260</t>
  </si>
  <si>
    <t>13186</t>
  </si>
  <si>
    <t>4741</t>
  </si>
  <si>
    <t>367</t>
  </si>
  <si>
    <t>composição</t>
  </si>
  <si>
    <t>PRAZO DE EXECUÇÃO: 4 (QUATRO) MESES</t>
  </si>
  <si>
    <t xml:space="preserve">FONTE: </t>
  </si>
  <si>
    <t>timbrado empresa</t>
  </si>
  <si>
    <t xml:space="preserve">R. T. </t>
  </si>
  <si>
    <t>R.T empresa</t>
  </si>
  <si>
    <t>CREAMG Nº</t>
  </si>
  <si>
    <t>Responsavel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</si>
</sst>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 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16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8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C0C0C0"/>
        <bgColor rgb="FF000000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</cellStyleXfs>
  <cellXfs count="39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/>
    <xf numFmtId="0" fontId="2" fillId="0" borderId="2" xfId="0" applyFont="1" applyBorder="1" applyAlignment="1">
      <alignment vertical="justify"/>
    </xf>
    <xf numFmtId="43" fontId="2" fillId="0" borderId="2" xfId="1" applyFont="1" applyBorder="1"/>
    <xf numFmtId="43" fontId="2" fillId="0" borderId="3" xfId="1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7" xfId="0" applyFont="1" applyBorder="1"/>
    <xf numFmtId="0" fontId="2" fillId="0" borderId="7" xfId="0" applyFont="1" applyBorder="1" applyAlignment="1">
      <alignment vertical="justify"/>
    </xf>
    <xf numFmtId="43" fontId="2" fillId="0" borderId="7" xfId="1" applyFont="1" applyBorder="1"/>
    <xf numFmtId="43" fontId="2" fillId="0" borderId="8" xfId="1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justify"/>
    </xf>
    <xf numFmtId="43" fontId="2" fillId="0" borderId="0" xfId="1" applyFo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43" fontId="8" fillId="0" borderId="18" xfId="1" applyFont="1" applyFill="1" applyBorder="1" applyAlignment="1">
      <alignment vertical="center"/>
    </xf>
    <xf numFmtId="43" fontId="8" fillId="0" borderId="17" xfId="1" applyFont="1" applyFill="1" applyBorder="1" applyAlignment="1">
      <alignment vertical="center"/>
    </xf>
    <xf numFmtId="43" fontId="8" fillId="0" borderId="19" xfId="1" applyFont="1" applyFill="1" applyBorder="1" applyAlignment="1">
      <alignment vertical="center"/>
    </xf>
    <xf numFmtId="43" fontId="8" fillId="0" borderId="21" xfId="1" applyFont="1" applyFill="1" applyBorder="1" applyAlignment="1">
      <alignment vertical="center"/>
    </xf>
    <xf numFmtId="0" fontId="8" fillId="0" borderId="22" xfId="0" applyFont="1" applyBorder="1" applyAlignment="1">
      <alignment vertical="center"/>
    </xf>
    <xf numFmtId="43" fontId="8" fillId="0" borderId="18" xfId="1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43" fontId="8" fillId="0" borderId="26" xfId="1" applyFont="1" applyFill="1" applyBorder="1" applyAlignment="1">
      <alignment horizontal="center" vertical="center"/>
    </xf>
    <xf numFmtId="10" fontId="8" fillId="0" borderId="24" xfId="2" applyNumberFormat="1" applyFont="1" applyFill="1" applyBorder="1" applyAlignment="1">
      <alignment vertical="center"/>
    </xf>
    <xf numFmtId="10" fontId="8" fillId="0" borderId="27" xfId="2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43" fontId="8" fillId="0" borderId="30" xfId="1" applyFont="1" applyFill="1" applyBorder="1" applyAlignment="1">
      <alignment horizontal="center" vertical="center" wrapText="1"/>
    </xf>
    <xf numFmtId="43" fontId="8" fillId="0" borderId="31" xfId="1" applyFont="1" applyFill="1" applyBorder="1" applyAlignment="1">
      <alignment horizontal="center" vertical="center" wrapText="1"/>
    </xf>
    <xf numFmtId="43" fontId="8" fillId="0" borderId="32" xfId="1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49" fontId="9" fillId="0" borderId="35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left" vertical="justify" wrapText="1"/>
    </xf>
    <xf numFmtId="2" fontId="9" fillId="0" borderId="35" xfId="1" applyNumberFormat="1" applyFont="1" applyFill="1" applyBorder="1" applyAlignment="1">
      <alignment horizontal="center" vertical="center" wrapText="1"/>
    </xf>
    <xf numFmtId="43" fontId="9" fillId="0" borderId="35" xfId="1" applyFont="1" applyBorder="1" applyAlignment="1">
      <alignment horizontal="center" vertical="center" wrapText="1"/>
    </xf>
    <xf numFmtId="43" fontId="9" fillId="0" borderId="14" xfId="1" applyFont="1" applyBorder="1" applyAlignment="1">
      <alignment horizontal="center" vertical="center" wrapText="1"/>
    </xf>
    <xf numFmtId="43" fontId="9" fillId="0" borderId="36" xfId="1" applyFont="1" applyBorder="1" applyAlignment="1">
      <alignment horizontal="center" vertical="center" wrapText="1"/>
    </xf>
    <xf numFmtId="0" fontId="8" fillId="2" borderId="37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/>
    </xf>
    <xf numFmtId="0" fontId="8" fillId="2" borderId="20" xfId="3" applyFont="1" applyFill="1" applyBorder="1" applyAlignment="1">
      <alignment vertical="justify"/>
    </xf>
    <xf numFmtId="0" fontId="8" fillId="2" borderId="20" xfId="3" applyFont="1" applyFill="1" applyBorder="1" applyAlignment="1">
      <alignment vertical="center"/>
    </xf>
    <xf numFmtId="164" fontId="8" fillId="2" borderId="20" xfId="4" applyFont="1" applyFill="1" applyBorder="1" applyAlignment="1">
      <alignment vertical="center"/>
    </xf>
    <xf numFmtId="164" fontId="8" fillId="2" borderId="18" xfId="4" applyFont="1" applyFill="1" applyBorder="1" applyAlignment="1">
      <alignment vertical="center"/>
    </xf>
    <xf numFmtId="164" fontId="8" fillId="2" borderId="21" xfId="4" applyFont="1" applyFill="1" applyBorder="1" applyAlignment="1">
      <alignment vertical="center"/>
    </xf>
    <xf numFmtId="0" fontId="7" fillId="0" borderId="37" xfId="0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justify" wrapText="1"/>
    </xf>
    <xf numFmtId="0" fontId="7" fillId="0" borderId="20" xfId="0" applyFont="1" applyBorder="1" applyAlignment="1">
      <alignment horizontal="center" vertical="center"/>
    </xf>
    <xf numFmtId="164" fontId="7" fillId="0" borderId="20" xfId="4" applyFont="1" applyFill="1" applyBorder="1" applyAlignment="1">
      <alignment horizontal="right" vertical="center"/>
    </xf>
    <xf numFmtId="43" fontId="7" fillId="0" borderId="20" xfId="5" applyFont="1" applyFill="1" applyBorder="1" applyAlignment="1">
      <alignment vertical="center"/>
    </xf>
    <xf numFmtId="164" fontId="7" fillId="0" borderId="18" xfId="6" applyFont="1" applyFill="1" applyBorder="1" applyAlignment="1">
      <alignment vertical="center"/>
    </xf>
    <xf numFmtId="164" fontId="7" fillId="0" borderId="21" xfId="6" applyFont="1" applyFill="1" applyBorder="1" applyAlignment="1">
      <alignment vertical="center"/>
    </xf>
    <xf numFmtId="0" fontId="0" fillId="0" borderId="0" xfId="0" applyAlignment="1">
      <alignment wrapText="1"/>
    </xf>
    <xf numFmtId="43" fontId="0" fillId="0" borderId="0" xfId="0" applyNumberFormat="1"/>
    <xf numFmtId="43" fontId="8" fillId="0" borderId="20" xfId="1" applyFont="1" applyFill="1" applyBorder="1" applyAlignment="1">
      <alignment vertical="center"/>
    </xf>
    <xf numFmtId="0" fontId="9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justify"/>
    </xf>
    <xf numFmtId="0" fontId="8" fillId="0" borderId="10" xfId="0" applyFont="1" applyBorder="1" applyAlignment="1">
      <alignment horizontal="center" vertical="center"/>
    </xf>
    <xf numFmtId="0" fontId="0" fillId="0" borderId="34" xfId="0" applyBorder="1"/>
    <xf numFmtId="0" fontId="0" fillId="0" borderId="20" xfId="0" applyBorder="1"/>
    <xf numFmtId="0" fontId="6" fillId="0" borderId="0" xfId="0" applyFont="1" applyAlignment="1">
      <alignment horizontal="center" vertical="justify" wrapText="1"/>
    </xf>
    <xf numFmtId="43" fontId="6" fillId="0" borderId="39" xfId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justify" wrapText="1"/>
    </xf>
    <xf numFmtId="2" fontId="16" fillId="0" borderId="7" xfId="1" applyNumberFormat="1" applyFont="1" applyFill="1" applyBorder="1" applyAlignment="1">
      <alignment horizontal="center" vertical="center" wrapText="1"/>
    </xf>
    <xf numFmtId="43" fontId="16" fillId="0" borderId="7" xfId="1" applyFont="1" applyFill="1" applyBorder="1" applyAlignment="1">
      <alignment horizontal="center" vertical="center" wrapText="1"/>
    </xf>
    <xf numFmtId="43" fontId="16" fillId="0" borderId="40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justify" wrapText="1"/>
    </xf>
    <xf numFmtId="43" fontId="2" fillId="0" borderId="0" xfId="1" applyFont="1" applyBorder="1" applyAlignment="1">
      <alignment horizontal="left" vertical="center" wrapText="1"/>
    </xf>
    <xf numFmtId="43" fontId="2" fillId="0" borderId="5" xfId="1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justify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1" applyFont="1" applyBorder="1" applyAlignment="1">
      <alignment vertical="center"/>
    </xf>
    <xf numFmtId="43" fontId="2" fillId="0" borderId="0" xfId="1" applyFont="1" applyBorder="1" applyAlignment="1">
      <alignment horizontal="center" vertical="center"/>
    </xf>
    <xf numFmtId="43" fontId="2" fillId="0" borderId="5" xfId="1" applyFont="1" applyBorder="1" applyAlignment="1">
      <alignment vertical="center"/>
    </xf>
    <xf numFmtId="0" fontId="2" fillId="0" borderId="4" xfId="0" applyFont="1" applyBorder="1"/>
    <xf numFmtId="43" fontId="2" fillId="0" borderId="0" xfId="1" applyFont="1" applyBorder="1"/>
    <xf numFmtId="43" fontId="2" fillId="0" borderId="5" xfId="1" applyFont="1" applyBorder="1"/>
    <xf numFmtId="0" fontId="2" fillId="0" borderId="41" xfId="0" applyFont="1" applyBorder="1"/>
    <xf numFmtId="0" fontId="2" fillId="0" borderId="41" xfId="0" applyFont="1" applyBorder="1" applyAlignment="1">
      <alignment vertical="justify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justify"/>
    </xf>
    <xf numFmtId="43" fontId="2" fillId="0" borderId="7" xfId="1" applyFont="1" applyBorder="1" applyAlignment="1">
      <alignment horizontal="center" vertical="center"/>
    </xf>
    <xf numFmtId="43" fontId="2" fillId="0" borderId="8" xfId="1" applyFont="1" applyBorder="1" applyAlignment="1">
      <alignment vertical="center"/>
    </xf>
    <xf numFmtId="0" fontId="7" fillId="0" borderId="1" xfId="0" applyFont="1" applyBorder="1"/>
    <xf numFmtId="0" fontId="7" fillId="0" borderId="2" xfId="0" applyFont="1" applyBorder="1"/>
    <xf numFmtId="0" fontId="7" fillId="3" borderId="2" xfId="0" applyFont="1" applyFill="1" applyBorder="1"/>
    <xf numFmtId="0" fontId="7" fillId="0" borderId="3" xfId="0" applyFont="1" applyBorder="1"/>
    <xf numFmtId="0" fontId="7" fillId="0" borderId="6" xfId="0" applyFont="1" applyBorder="1"/>
    <xf numFmtId="0" fontId="7" fillId="0" borderId="7" xfId="0" applyFont="1" applyBorder="1"/>
    <xf numFmtId="0" fontId="7" fillId="3" borderId="7" xfId="0" applyFont="1" applyFill="1" applyBorder="1"/>
    <xf numFmtId="0" fontId="7" fillId="0" borderId="8" xfId="0" applyFont="1" applyBorder="1"/>
    <xf numFmtId="0" fontId="8" fillId="3" borderId="1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10" fontId="8" fillId="0" borderId="27" xfId="2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5" xfId="0" applyFont="1" applyBorder="1" applyAlignment="1">
      <alignment horizontal="center"/>
    </xf>
    <xf numFmtId="0" fontId="7" fillId="0" borderId="4" xfId="0" applyFont="1" applyBorder="1"/>
    <xf numFmtId="0" fontId="7" fillId="0" borderId="0" xfId="0" applyFont="1"/>
    <xf numFmtId="0" fontId="7" fillId="0" borderId="5" xfId="0" applyFont="1" applyBorder="1"/>
    <xf numFmtId="0" fontId="16" fillId="0" borderId="37" xfId="0" applyFont="1" applyBorder="1"/>
    <xf numFmtId="0" fontId="16" fillId="0" borderId="20" xfId="0" applyFont="1" applyBorder="1" applyAlignment="1">
      <alignment horizontal="center"/>
    </xf>
    <xf numFmtId="0" fontId="16" fillId="0" borderId="20" xfId="0" applyFont="1" applyBorder="1"/>
    <xf numFmtId="0" fontId="16" fillId="0" borderId="21" xfId="0" applyFont="1" applyBorder="1"/>
    <xf numFmtId="10" fontId="16" fillId="0" borderId="20" xfId="2" applyNumberFormat="1" applyFont="1" applyBorder="1" applyAlignment="1">
      <alignment horizontal="center"/>
    </xf>
    <xf numFmtId="0" fontId="6" fillId="0" borderId="37" xfId="0" applyFont="1" applyBorder="1"/>
    <xf numFmtId="0" fontId="6" fillId="0" borderId="20" xfId="0" applyFont="1" applyBorder="1" applyAlignment="1">
      <alignment horizontal="center"/>
    </xf>
    <xf numFmtId="10" fontId="6" fillId="0" borderId="20" xfId="2" applyNumberFormat="1" applyFont="1" applyBorder="1" applyAlignment="1">
      <alignment horizontal="center"/>
    </xf>
    <xf numFmtId="0" fontId="6" fillId="0" borderId="20" xfId="0" applyFont="1" applyBorder="1"/>
    <xf numFmtId="0" fontId="6" fillId="0" borderId="21" xfId="0" applyFont="1" applyBorder="1"/>
    <xf numFmtId="10" fontId="16" fillId="4" borderId="20" xfId="2" applyNumberFormat="1" applyFont="1" applyFill="1" applyBorder="1" applyAlignment="1">
      <alignment horizontal="center"/>
    </xf>
    <xf numFmtId="0" fontId="16" fillId="4" borderId="20" xfId="0" applyFont="1" applyFill="1" applyBorder="1" applyAlignment="1">
      <alignment horizontal="center"/>
    </xf>
    <xf numFmtId="10" fontId="16" fillId="0" borderId="20" xfId="2" applyNumberFormat="1" applyFont="1" applyBorder="1"/>
    <xf numFmtId="0" fontId="16" fillId="0" borderId="6" xfId="0" applyFont="1" applyBorder="1"/>
    <xf numFmtId="0" fontId="16" fillId="0" borderId="4" xfId="0" applyFont="1" applyBorder="1"/>
    <xf numFmtId="0" fontId="16" fillId="0" borderId="0" xfId="0" applyFont="1"/>
    <xf numFmtId="0" fontId="16" fillId="0" borderId="5" xfId="0" applyFont="1" applyBorder="1"/>
    <xf numFmtId="164" fontId="16" fillId="0" borderId="0" xfId="0" applyNumberFormat="1" applyFont="1"/>
    <xf numFmtId="0" fontId="18" fillId="7" borderId="20" xfId="9" applyFont="1" applyFill="1" applyBorder="1" applyAlignment="1">
      <alignment horizontal="center" vertical="center"/>
    </xf>
    <xf numFmtId="49" fontId="18" fillId="7" borderId="20" xfId="9" applyNumberFormat="1" applyFont="1" applyFill="1" applyBorder="1" applyAlignment="1">
      <alignment horizontal="center" vertical="center"/>
    </xf>
    <xf numFmtId="0" fontId="18" fillId="7" borderId="20" xfId="9" applyFont="1" applyFill="1" applyBorder="1" applyAlignment="1">
      <alignment vertical="center"/>
    </xf>
    <xf numFmtId="4" fontId="18" fillId="7" borderId="20" xfId="9" applyNumberFormat="1" applyFont="1" applyFill="1" applyBorder="1" applyAlignment="1">
      <alignment horizontal="center" vertical="center" wrapText="1"/>
    </xf>
    <xf numFmtId="49" fontId="14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14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20" xfId="0" applyFont="1" applyFill="1" applyBorder="1" applyAlignment="1">
      <alignment vertical="center"/>
    </xf>
    <xf numFmtId="4" fontId="14" fillId="2" borderId="20" xfId="0" applyNumberFormat="1" applyFont="1" applyFill="1" applyBorder="1" applyAlignment="1">
      <alignment horizontal="center" vertical="center"/>
    </xf>
    <xf numFmtId="49" fontId="15" fillId="5" borderId="20" xfId="0" applyNumberFormat="1" applyFont="1" applyFill="1" applyBorder="1" applyAlignment="1" applyProtection="1">
      <alignment horizontal="center" wrapText="1"/>
      <protection locked="0"/>
    </xf>
    <xf numFmtId="0" fontId="15" fillId="0" borderId="20" xfId="0" applyFont="1" applyBorder="1" applyAlignment="1">
      <alignment horizontal="left" wrapText="1"/>
    </xf>
    <xf numFmtId="0" fontId="15" fillId="0" borderId="20" xfId="0" applyFont="1" applyBorder="1" applyAlignment="1">
      <alignment horizontal="center" wrapText="1"/>
    </xf>
    <xf numFmtId="4" fontId="15" fillId="0" borderId="20" xfId="0" applyNumberFormat="1" applyFont="1" applyBorder="1" applyAlignment="1">
      <alignment horizontal="center" wrapText="1"/>
    </xf>
    <xf numFmtId="0" fontId="10" fillId="0" borderId="0" xfId="3"/>
    <xf numFmtId="0" fontId="20" fillId="7" borderId="33" xfId="3" applyFont="1" applyFill="1" applyBorder="1" applyAlignment="1">
      <alignment horizontal="center" vertical="center"/>
    </xf>
    <xf numFmtId="0" fontId="20" fillId="7" borderId="35" xfId="3" applyFont="1" applyFill="1" applyBorder="1" applyAlignment="1">
      <alignment horizontal="center" vertical="center"/>
    </xf>
    <xf numFmtId="0" fontId="20" fillId="7" borderId="35" xfId="3" applyFont="1" applyFill="1" applyBorder="1" applyAlignment="1">
      <alignment horizontal="center" vertical="center" wrapText="1"/>
    </xf>
    <xf numFmtId="0" fontId="20" fillId="7" borderId="30" xfId="3" applyFont="1" applyFill="1" applyBorder="1" applyAlignment="1">
      <alignment horizontal="center" vertical="center"/>
    </xf>
    <xf numFmtId="0" fontId="20" fillId="7" borderId="32" xfId="3" applyFont="1" applyFill="1" applyBorder="1" applyAlignment="1">
      <alignment horizontal="center" vertical="center"/>
    </xf>
    <xf numFmtId="49" fontId="21" fillId="7" borderId="51" xfId="3" applyNumberFormat="1" applyFont="1" applyFill="1" applyBorder="1" applyAlignment="1">
      <alignment horizontal="center" vertical="top" wrapText="1"/>
    </xf>
    <xf numFmtId="10" fontId="22" fillId="7" borderId="52" xfId="3" applyNumberFormat="1" applyFont="1" applyFill="1" applyBorder="1" applyAlignment="1">
      <alignment vertical="top" wrapText="1"/>
    </xf>
    <xf numFmtId="10" fontId="21" fillId="7" borderId="20" xfId="3" applyNumberFormat="1" applyFont="1" applyFill="1" applyBorder="1" applyAlignment="1">
      <alignment vertical="top" wrapText="1"/>
    </xf>
    <xf numFmtId="10" fontId="21" fillId="7" borderId="21" xfId="3" applyNumberFormat="1" applyFont="1" applyFill="1" applyBorder="1" applyAlignment="1">
      <alignment vertical="top" wrapText="1"/>
    </xf>
    <xf numFmtId="10" fontId="10" fillId="0" borderId="0" xfId="3" applyNumberFormat="1"/>
    <xf numFmtId="49" fontId="21" fillId="7" borderId="54" xfId="3" applyNumberFormat="1" applyFont="1" applyFill="1" applyBorder="1" applyAlignment="1">
      <alignment horizontal="center" vertical="top" wrapText="1"/>
    </xf>
    <xf numFmtId="4" fontId="21" fillId="7" borderId="55" xfId="3" applyNumberFormat="1" applyFont="1" applyFill="1" applyBorder="1" applyAlignment="1">
      <alignment vertical="top" wrapText="1"/>
    </xf>
    <xf numFmtId="4" fontId="21" fillId="7" borderId="20" xfId="3" applyNumberFormat="1" applyFont="1" applyFill="1" applyBorder="1" applyAlignment="1">
      <alignment vertical="top" wrapText="1"/>
    </xf>
    <xf numFmtId="4" fontId="21" fillId="7" borderId="21" xfId="3" applyNumberFormat="1" applyFont="1" applyFill="1" applyBorder="1" applyAlignment="1">
      <alignment vertical="top" wrapText="1"/>
    </xf>
    <xf numFmtId="44" fontId="10" fillId="0" borderId="0" xfId="8" applyFont="1"/>
    <xf numFmtId="4" fontId="21" fillId="7" borderId="52" xfId="3" applyNumberFormat="1" applyFont="1" applyFill="1" applyBorder="1" applyAlignment="1">
      <alignment vertical="top" wrapText="1"/>
    </xf>
    <xf numFmtId="10" fontId="21" fillId="7" borderId="21" xfId="10" applyNumberFormat="1" applyFont="1" applyFill="1" applyBorder="1" applyAlignment="1">
      <alignment vertical="top" wrapText="1"/>
    </xf>
    <xf numFmtId="4" fontId="21" fillId="7" borderId="18" xfId="3" applyNumberFormat="1" applyFont="1" applyFill="1" applyBorder="1" applyAlignment="1">
      <alignment vertical="top" wrapText="1"/>
    </xf>
    <xf numFmtId="49" fontId="23" fillId="7" borderId="57" xfId="3" applyNumberFormat="1" applyFont="1" applyFill="1" applyBorder="1" applyAlignment="1">
      <alignment horizontal="center" vertical="top" wrapText="1"/>
    </xf>
    <xf numFmtId="9" fontId="21" fillId="7" borderId="52" xfId="10" applyFont="1" applyFill="1" applyBorder="1" applyAlignment="1">
      <alignment vertical="top" wrapText="1"/>
    </xf>
    <xf numFmtId="49" fontId="23" fillId="7" borderId="58" xfId="3" applyNumberFormat="1" applyFont="1" applyFill="1" applyBorder="1" applyAlignment="1">
      <alignment horizontal="center" vertical="top" wrapText="1"/>
    </xf>
    <xf numFmtId="165" fontId="23" fillId="7" borderId="59" xfId="3" applyNumberFormat="1" applyFont="1" applyFill="1" applyBorder="1" applyAlignment="1">
      <alignment vertical="top" wrapText="1"/>
    </xf>
    <xf numFmtId="0" fontId="10" fillId="7" borderId="6" xfId="3" applyFill="1" applyBorder="1" applyAlignment="1">
      <alignment vertical="center"/>
    </xf>
    <xf numFmtId="0" fontId="10" fillId="7" borderId="7" xfId="3" applyFill="1" applyBorder="1" applyAlignment="1">
      <alignment vertical="center"/>
    </xf>
    <xf numFmtId="0" fontId="10" fillId="7" borderId="7" xfId="3" applyFill="1" applyBorder="1" applyAlignment="1">
      <alignment vertical="center" wrapText="1"/>
    </xf>
    <xf numFmtId="0" fontId="10" fillId="7" borderId="8" xfId="3" applyFill="1" applyBorder="1" applyAlignment="1">
      <alignment vertical="center"/>
    </xf>
    <xf numFmtId="0" fontId="20" fillId="7" borderId="4" xfId="3" applyFont="1" applyFill="1" applyBorder="1" applyAlignment="1">
      <alignment wrapText="1"/>
    </xf>
    <xf numFmtId="0" fontId="20" fillId="7" borderId="0" xfId="3" applyFont="1" applyFill="1" applyAlignment="1">
      <alignment wrapText="1"/>
    </xf>
    <xf numFmtId="0" fontId="20" fillId="3" borderId="0" xfId="3" applyFont="1" applyFill="1" applyAlignment="1">
      <alignment wrapText="1"/>
    </xf>
    <xf numFmtId="0" fontId="20" fillId="3" borderId="5" xfId="3" applyFont="1" applyFill="1" applyBorder="1" applyAlignment="1">
      <alignment wrapText="1"/>
    </xf>
    <xf numFmtId="0" fontId="10" fillId="0" borderId="41" xfId="3" applyBorder="1" applyAlignment="1">
      <alignment vertical="center"/>
    </xf>
    <xf numFmtId="0" fontId="20" fillId="3" borderId="0" xfId="3" applyFont="1" applyFill="1" applyAlignment="1">
      <alignment horizontal="center" wrapText="1"/>
    </xf>
    <xf numFmtId="0" fontId="10" fillId="3" borderId="0" xfId="3" applyFill="1"/>
    <xf numFmtId="0" fontId="20" fillId="3" borderId="5" xfId="3" applyFont="1" applyFill="1" applyBorder="1" applyAlignment="1">
      <alignment horizontal="center" wrapText="1"/>
    </xf>
    <xf numFmtId="0" fontId="20" fillId="7" borderId="4" xfId="3" applyFont="1" applyFill="1" applyBorder="1"/>
    <xf numFmtId="0" fontId="10" fillId="0" borderId="48" xfId="3" applyBorder="1" applyAlignment="1">
      <alignment vertical="center" wrapText="1"/>
    </xf>
    <xf numFmtId="0" fontId="10" fillId="7" borderId="0" xfId="3" applyFill="1" applyAlignment="1">
      <alignment wrapText="1"/>
    </xf>
    <xf numFmtId="0" fontId="10" fillId="3" borderId="0" xfId="3" applyFill="1" applyAlignment="1">
      <alignment vertical="center" wrapText="1"/>
    </xf>
    <xf numFmtId="0" fontId="10" fillId="3" borderId="5" xfId="3" applyFill="1" applyBorder="1" applyAlignment="1">
      <alignment vertical="center" wrapText="1"/>
    </xf>
    <xf numFmtId="0" fontId="10" fillId="7" borderId="6" xfId="3" applyFill="1" applyBorder="1"/>
    <xf numFmtId="0" fontId="10" fillId="0" borderId="7" xfId="3" applyBorder="1" applyAlignment="1">
      <alignment vertical="top" wrapText="1"/>
    </xf>
    <xf numFmtId="0" fontId="10" fillId="7" borderId="7" xfId="3" applyFill="1" applyBorder="1" applyAlignment="1">
      <alignment wrapText="1"/>
    </xf>
    <xf numFmtId="0" fontId="10" fillId="3" borderId="7" xfId="3" applyFill="1" applyBorder="1"/>
    <xf numFmtId="0" fontId="10" fillId="3" borderId="8" xfId="3" applyFill="1" applyBorder="1"/>
    <xf numFmtId="0" fontId="10" fillId="7" borderId="4" xfId="3" applyFill="1" applyBorder="1"/>
    <xf numFmtId="0" fontId="24" fillId="0" borderId="0" xfId="3" applyFont="1" applyAlignment="1">
      <alignment horizontal="center" vertical="center" wrapText="1"/>
    </xf>
    <xf numFmtId="0" fontId="10" fillId="7" borderId="0" xfId="3" applyFill="1"/>
    <xf numFmtId="0" fontId="25" fillId="7" borderId="4" xfId="3" applyFont="1" applyFill="1" applyBorder="1"/>
    <xf numFmtId="0" fontId="10" fillId="0" borderId="41" xfId="3" applyBorder="1" applyAlignment="1">
      <alignment horizontal="center" vertical="center"/>
    </xf>
    <xf numFmtId="0" fontId="25" fillId="7" borderId="0" xfId="3" applyFont="1" applyFill="1" applyAlignment="1">
      <alignment wrapText="1"/>
    </xf>
    <xf numFmtId="0" fontId="20" fillId="7" borderId="0" xfId="3" applyFont="1" applyFill="1" applyAlignment="1">
      <alignment horizontal="right"/>
    </xf>
    <xf numFmtId="0" fontId="26" fillId="7" borderId="6" xfId="3" applyFont="1" applyFill="1" applyBorder="1"/>
    <xf numFmtId="0" fontId="10" fillId="0" borderId="24" xfId="3" applyBorder="1" applyAlignment="1">
      <alignment horizontal="center" vertical="center"/>
    </xf>
    <xf numFmtId="0" fontId="26" fillId="7" borderId="7" xfId="3" applyFont="1" applyFill="1" applyBorder="1" applyAlignment="1">
      <alignment wrapText="1"/>
    </xf>
    <xf numFmtId="0" fontId="10" fillId="7" borderId="7" xfId="3" applyFill="1" applyBorder="1"/>
    <xf numFmtId="43" fontId="10" fillId="7" borderId="0" xfId="3" applyNumberFormat="1" applyFill="1" applyAlignment="1">
      <alignment wrapText="1"/>
    </xf>
    <xf numFmtId="0" fontId="15" fillId="5" borderId="54" xfId="11" applyFont="1" applyFill="1" applyBorder="1" applyAlignment="1" applyProtection="1">
      <alignment horizontal="center" vertical="center" wrapText="1"/>
      <protection locked="0"/>
    </xf>
    <xf numFmtId="0" fontId="0" fillId="0" borderId="7" xfId="0" applyBorder="1"/>
    <xf numFmtId="0" fontId="0" fillId="0" borderId="60" xfId="0" applyBorder="1"/>
    <xf numFmtId="0" fontId="0" fillId="0" borderId="44" xfId="0" applyBorder="1"/>
    <xf numFmtId="43" fontId="2" fillId="0" borderId="7" xfId="1" applyFont="1" applyBorder="1" applyAlignment="1">
      <alignment vertical="center"/>
    </xf>
    <xf numFmtId="10" fontId="21" fillId="7" borderId="18" xfId="3" applyNumberFormat="1" applyFont="1" applyFill="1" applyBorder="1" applyAlignment="1">
      <alignment vertical="top" wrapText="1"/>
    </xf>
    <xf numFmtId="44" fontId="23" fillId="7" borderId="59" xfId="8" applyFont="1" applyFill="1" applyBorder="1" applyAlignment="1">
      <alignment horizontal="center" vertical="top" wrapText="1"/>
    </xf>
    <xf numFmtId="0" fontId="8" fillId="2" borderId="18" xfId="3" applyFont="1" applyFill="1" applyBorder="1" applyAlignment="1">
      <alignment horizontal="center" vertical="justify"/>
    </xf>
    <xf numFmtId="0" fontId="8" fillId="2" borderId="17" xfId="3" applyFont="1" applyFill="1" applyBorder="1" applyAlignment="1">
      <alignment horizontal="center" vertical="justify"/>
    </xf>
    <xf numFmtId="0" fontId="8" fillId="2" borderId="22" xfId="3" applyFont="1" applyFill="1" applyBorder="1" applyAlignment="1">
      <alignment horizontal="center" vertical="justify"/>
    </xf>
    <xf numFmtId="0" fontId="10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7" fillId="0" borderId="20" xfId="4" applyNumberFormat="1" applyFont="1" applyFill="1" applyBorder="1" applyAlignment="1">
      <alignment horizontal="right" vertical="center"/>
    </xf>
    <xf numFmtId="164" fontId="7" fillId="0" borderId="20" xfId="4" quotePrefix="1" applyFont="1" applyFill="1" applyBorder="1" applyAlignment="1">
      <alignment horizontal="right" vertical="center"/>
    </xf>
    <xf numFmtId="0" fontId="8" fillId="8" borderId="37" xfId="3" applyFont="1" applyFill="1" applyBorder="1" applyAlignment="1">
      <alignment horizontal="center" vertical="center"/>
    </xf>
    <xf numFmtId="0" fontId="8" fillId="8" borderId="20" xfId="3" applyFont="1" applyFill="1" applyBorder="1" applyAlignment="1">
      <alignment horizontal="center"/>
    </xf>
    <xf numFmtId="0" fontId="8" fillId="8" borderId="20" xfId="3" applyFont="1" applyFill="1" applyBorder="1" applyAlignment="1">
      <alignment vertical="justify"/>
    </xf>
    <xf numFmtId="0" fontId="8" fillId="8" borderId="20" xfId="3" applyFont="1" applyFill="1" applyBorder="1" applyAlignment="1">
      <alignment vertical="center"/>
    </xf>
    <xf numFmtId="164" fontId="8" fillId="8" borderId="20" xfId="4" applyFont="1" applyFill="1" applyBorder="1" applyAlignment="1">
      <alignment vertical="center"/>
    </xf>
    <xf numFmtId="164" fontId="8" fillId="8" borderId="18" xfId="4" applyFont="1" applyFill="1" applyBorder="1" applyAlignment="1">
      <alignment vertical="center"/>
    </xf>
    <xf numFmtId="164" fontId="8" fillId="8" borderId="21" xfId="4" applyFont="1" applyFill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8" fillId="0" borderId="0" xfId="4" applyFont="1" applyFill="1" applyBorder="1" applyAlignment="1">
      <alignment vertical="center"/>
    </xf>
    <xf numFmtId="0" fontId="8" fillId="0" borderId="0" xfId="3" applyFont="1" applyAlignment="1">
      <alignment horizontal="center" vertical="justify"/>
    </xf>
    <xf numFmtId="0" fontId="8" fillId="0" borderId="60" xfId="3" applyFont="1" applyBorder="1" applyAlignment="1">
      <alignment horizontal="center" vertical="justify"/>
    </xf>
    <xf numFmtId="0" fontId="7" fillId="0" borderId="0" xfId="3" applyFont="1" applyAlignment="1">
      <alignment horizontal="center" vertical="center"/>
    </xf>
    <xf numFmtId="0" fontId="7" fillId="0" borderId="0" xfId="0" applyFont="1" applyAlignment="1">
      <alignment horizontal="left" vertical="justify" wrapText="1"/>
    </xf>
    <xf numFmtId="164" fontId="7" fillId="0" borderId="20" xfId="4" applyFont="1" applyFill="1" applyBorder="1" applyAlignment="1">
      <alignment vertical="center"/>
    </xf>
    <xf numFmtId="0" fontId="15" fillId="0" borderId="61" xfId="0" applyFont="1" applyBorder="1" applyAlignment="1">
      <alignment horizontal="left" wrapText="1"/>
    </xf>
    <xf numFmtId="0" fontId="15" fillId="0" borderId="61" xfId="0" applyFont="1" applyBorder="1" applyAlignment="1">
      <alignment horizontal="center" wrapText="1"/>
    </xf>
    <xf numFmtId="0" fontId="15" fillId="6" borderId="61" xfId="0" applyFont="1" applyFill="1" applyBorder="1" applyAlignment="1" applyProtection="1">
      <alignment horizontal="center" wrapText="1"/>
      <protection locked="0"/>
    </xf>
    <xf numFmtId="0" fontId="15" fillId="0" borderId="62" xfId="0" applyFont="1" applyBorder="1" applyAlignment="1">
      <alignment horizontal="left" wrapText="1"/>
    </xf>
    <xf numFmtId="0" fontId="15" fillId="0" borderId="62" xfId="0" applyFont="1" applyBorder="1" applyAlignment="1">
      <alignment horizontal="center" wrapText="1"/>
    </xf>
    <xf numFmtId="0" fontId="15" fillId="6" borderId="62" xfId="0" applyFont="1" applyFill="1" applyBorder="1" applyAlignment="1" applyProtection="1">
      <alignment horizontal="center" wrapText="1"/>
      <protection locked="0"/>
    </xf>
    <xf numFmtId="0" fontId="14" fillId="0" borderId="63" xfId="0" applyFont="1" applyBorder="1" applyAlignment="1">
      <alignment horizontal="center"/>
    </xf>
    <xf numFmtId="49" fontId="14" fillId="9" borderId="63" xfId="0" applyNumberFormat="1" applyFont="1" applyFill="1" applyBorder="1" applyAlignment="1" applyProtection="1">
      <alignment horizontal="center" wrapText="1"/>
      <protection locked="0"/>
    </xf>
    <xf numFmtId="49" fontId="14" fillId="9" borderId="63" xfId="0" applyNumberFormat="1" applyFont="1" applyFill="1" applyBorder="1" applyAlignment="1" applyProtection="1">
      <alignment wrapText="1"/>
      <protection locked="0"/>
    </xf>
    <xf numFmtId="49" fontId="15" fillId="9" borderId="61" xfId="0" applyNumberFormat="1" applyFont="1" applyFill="1" applyBorder="1" applyAlignment="1" applyProtection="1">
      <alignment horizontal="center" wrapText="1"/>
      <protection locked="0"/>
    </xf>
    <xf numFmtId="49" fontId="15" fillId="9" borderId="62" xfId="0" applyNumberFormat="1" applyFont="1" applyFill="1" applyBorder="1" applyAlignment="1" applyProtection="1">
      <alignment horizontal="center" wrapText="1"/>
      <protection locked="0"/>
    </xf>
    <xf numFmtId="4" fontId="14" fillId="10" borderId="63" xfId="0" applyNumberFormat="1" applyFont="1" applyFill="1" applyBorder="1"/>
    <xf numFmtId="0" fontId="6" fillId="0" borderId="4" xfId="0" applyFont="1" applyBorder="1" applyAlignment="1">
      <alignment horizontal="center" vertical="justify" wrapText="1"/>
    </xf>
    <xf numFmtId="0" fontId="6" fillId="0" borderId="0" xfId="0" applyFont="1" applyAlignment="1">
      <alignment horizontal="center" vertical="justify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3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/>
    </xf>
    <xf numFmtId="43" fontId="8" fillId="0" borderId="14" xfId="1" applyFont="1" applyFill="1" applyBorder="1" applyAlignment="1">
      <alignment horizontal="center" vertical="center" wrapText="1"/>
    </xf>
    <xf numFmtId="43" fontId="8" fillId="0" borderId="13" xfId="1" applyFont="1" applyFill="1" applyBorder="1" applyAlignment="1">
      <alignment horizontal="center" vertical="center" wrapText="1"/>
    </xf>
    <xf numFmtId="43" fontId="8" fillId="0" borderId="15" xfId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6" fillId="0" borderId="20" xfId="0" applyFont="1" applyBorder="1"/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37" xfId="0" applyFont="1" applyBorder="1"/>
    <xf numFmtId="0" fontId="16" fillId="0" borderId="21" xfId="0" applyFont="1" applyBorder="1"/>
    <xf numFmtId="0" fontId="16" fillId="0" borderId="20" xfId="0" applyFont="1" applyBorder="1" applyAlignment="1">
      <alignment horizontal="center" vertical="center"/>
    </xf>
    <xf numFmtId="0" fontId="6" fillId="4" borderId="20" xfId="0" applyFont="1" applyFill="1" applyBorder="1" applyAlignment="1">
      <alignment vertical="center"/>
    </xf>
    <xf numFmtId="10" fontId="6" fillId="4" borderId="20" xfId="2" applyNumberFormat="1" applyFont="1" applyFill="1" applyBorder="1" applyAlignment="1">
      <alignment vertical="center"/>
    </xf>
    <xf numFmtId="0" fontId="16" fillId="0" borderId="20" xfId="0" applyFont="1" applyBorder="1" applyAlignment="1">
      <alignment horizont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164" fontId="8" fillId="0" borderId="20" xfId="0" applyNumberFormat="1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3" borderId="43" xfId="0" applyFont="1" applyFill="1" applyBorder="1" applyAlignment="1">
      <alignment horizontal="left" vertical="center"/>
    </xf>
    <xf numFmtId="0" fontId="8" fillId="3" borderId="44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43" fontId="8" fillId="0" borderId="14" xfId="0" applyNumberFormat="1" applyFont="1" applyBorder="1" applyAlignment="1">
      <alignment horizontal="left" vertical="justify"/>
    </xf>
    <xf numFmtId="0" fontId="8" fillId="0" borderId="13" xfId="0" applyFont="1" applyBorder="1" applyAlignment="1">
      <alignment horizontal="left" vertical="justify"/>
    </xf>
    <xf numFmtId="0" fontId="8" fillId="0" borderId="15" xfId="0" applyFont="1" applyBorder="1" applyAlignment="1">
      <alignment horizontal="left" vertical="justify"/>
    </xf>
    <xf numFmtId="0" fontId="13" fillId="0" borderId="20" xfId="0" applyFont="1" applyBorder="1" applyAlignment="1">
      <alignment horizontal="center" vertical="center" wrapText="1"/>
    </xf>
    <xf numFmtId="0" fontId="10" fillId="0" borderId="18" xfId="0" quotePrefix="1" applyFont="1" applyBorder="1" applyAlignment="1">
      <alignment horizontal="center" vertical="center" wrapText="1"/>
    </xf>
    <xf numFmtId="0" fontId="10" fillId="0" borderId="17" xfId="0" quotePrefix="1" applyFont="1" applyBorder="1" applyAlignment="1">
      <alignment horizontal="center" vertical="center" wrapText="1"/>
    </xf>
    <xf numFmtId="0" fontId="10" fillId="0" borderId="22" xfId="0" quotePrefix="1" applyFont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/>
    </xf>
    <xf numFmtId="0" fontId="8" fillId="2" borderId="17" xfId="3" applyFont="1" applyFill="1" applyBorder="1" applyAlignment="1">
      <alignment horizontal="center" vertical="center"/>
    </xf>
    <xf numFmtId="0" fontId="8" fillId="2" borderId="22" xfId="3" applyFont="1" applyFill="1" applyBorder="1" applyAlignment="1">
      <alignment horizontal="center" vertical="center"/>
    </xf>
    <xf numFmtId="0" fontId="8" fillId="8" borderId="18" xfId="3" applyFont="1" applyFill="1" applyBorder="1" applyAlignment="1">
      <alignment horizontal="center" vertical="center"/>
    </xf>
    <xf numFmtId="0" fontId="8" fillId="8" borderId="17" xfId="3" applyFont="1" applyFill="1" applyBorder="1" applyAlignment="1">
      <alignment horizontal="center" vertical="center"/>
    </xf>
    <xf numFmtId="0" fontId="8" fillId="8" borderId="22" xfId="3" applyFont="1" applyFill="1" applyBorder="1" applyAlignment="1">
      <alignment horizontal="center" vertical="center"/>
    </xf>
    <xf numFmtId="0" fontId="8" fillId="2" borderId="18" xfId="3" applyFont="1" applyFill="1" applyBorder="1" applyAlignment="1">
      <alignment horizontal="center" vertical="justify"/>
    </xf>
    <xf numFmtId="0" fontId="8" fillId="2" borderId="17" xfId="3" applyFont="1" applyFill="1" applyBorder="1" applyAlignment="1">
      <alignment horizontal="center" vertical="justify"/>
    </xf>
    <xf numFmtId="0" fontId="8" fillId="2" borderId="22" xfId="3" applyFont="1" applyFill="1" applyBorder="1" applyAlignment="1">
      <alignment horizontal="center" vertical="justify"/>
    </xf>
    <xf numFmtId="0" fontId="10" fillId="0" borderId="18" xfId="0" quotePrefix="1" applyFont="1" applyBorder="1" applyAlignment="1">
      <alignment horizontal="center" vertical="center"/>
    </xf>
    <xf numFmtId="0" fontId="10" fillId="0" borderId="17" xfId="0" quotePrefix="1" applyFont="1" applyBorder="1" applyAlignment="1">
      <alignment horizontal="center" vertical="center"/>
    </xf>
    <xf numFmtId="0" fontId="10" fillId="0" borderId="22" xfId="0" quotePrefix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3" fontId="8" fillId="0" borderId="18" xfId="1" applyFont="1" applyFill="1" applyBorder="1" applyAlignment="1">
      <alignment horizontal="center" vertical="center"/>
    </xf>
    <xf numFmtId="43" fontId="8" fillId="0" borderId="17" xfId="1" applyFont="1" applyFill="1" applyBorder="1" applyAlignment="1">
      <alignment horizontal="center" vertical="center"/>
    </xf>
    <xf numFmtId="43" fontId="8" fillId="0" borderId="19" xfId="1" applyFont="1" applyFill="1" applyBorder="1" applyAlignment="1">
      <alignment horizontal="center" vertical="center"/>
    </xf>
    <xf numFmtId="0" fontId="8" fillId="8" borderId="18" xfId="3" applyFont="1" applyFill="1" applyBorder="1" applyAlignment="1">
      <alignment horizontal="center" vertical="justify"/>
    </xf>
    <xf numFmtId="0" fontId="8" fillId="8" borderId="17" xfId="3" applyFont="1" applyFill="1" applyBorder="1" applyAlignment="1">
      <alignment horizontal="center" vertical="justify"/>
    </xf>
    <xf numFmtId="0" fontId="8" fillId="8" borderId="22" xfId="3" applyFont="1" applyFill="1" applyBorder="1" applyAlignment="1">
      <alignment horizontal="center" vertical="justify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3" fontId="8" fillId="0" borderId="17" xfId="1" applyFont="1" applyFill="1" applyBorder="1" applyAlignment="1">
      <alignment horizontal="left" vertical="center"/>
    </xf>
    <xf numFmtId="43" fontId="8" fillId="0" borderId="19" xfId="1" applyFont="1" applyFill="1" applyBorder="1" applyAlignment="1">
      <alignment horizontal="left" vertical="center"/>
    </xf>
    <xf numFmtId="10" fontId="8" fillId="0" borderId="24" xfId="2" applyNumberFormat="1" applyFont="1" applyFill="1" applyBorder="1" applyAlignment="1">
      <alignment horizontal="left" vertical="center"/>
    </xf>
    <xf numFmtId="10" fontId="8" fillId="0" borderId="27" xfId="2" applyNumberFormat="1" applyFont="1" applyFill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8" xfId="0" applyBorder="1" applyAlignment="1">
      <alignment horizontal="center"/>
    </xf>
    <xf numFmtId="0" fontId="20" fillId="7" borderId="56" xfId="3" applyFont="1" applyFill="1" applyBorder="1" applyAlignment="1">
      <alignment horizontal="center" vertical="center" wrapText="1"/>
    </xf>
    <xf numFmtId="0" fontId="20" fillId="7" borderId="43" xfId="3" applyFont="1" applyFill="1" applyBorder="1" applyAlignment="1">
      <alignment horizontal="center" vertical="center" wrapText="1"/>
    </xf>
    <xf numFmtId="0" fontId="20" fillId="7" borderId="6" xfId="3" applyFont="1" applyFill="1" applyBorder="1" applyAlignment="1">
      <alignment horizontal="center" vertical="center" wrapText="1"/>
    </xf>
    <xf numFmtId="0" fontId="20" fillId="7" borderId="44" xfId="3" applyFont="1" applyFill="1" applyBorder="1" applyAlignment="1">
      <alignment horizontal="center" vertical="center" wrapText="1"/>
    </xf>
    <xf numFmtId="0" fontId="20" fillId="7" borderId="41" xfId="3" applyFont="1" applyFill="1" applyBorder="1" applyAlignment="1">
      <alignment horizontal="center" wrapText="1"/>
    </xf>
    <xf numFmtId="0" fontId="10" fillId="3" borderId="48" xfId="3" applyFill="1" applyBorder="1" applyAlignment="1">
      <alignment horizontal="center" vertical="center" wrapText="1"/>
    </xf>
    <xf numFmtId="0" fontId="10" fillId="7" borderId="7" xfId="3" applyFill="1" applyBorder="1" applyAlignment="1">
      <alignment horizontal="center" vertical="top" wrapText="1"/>
    </xf>
    <xf numFmtId="0" fontId="10" fillId="7" borderId="49" xfId="3" applyFill="1" applyBorder="1" applyAlignment="1">
      <alignment horizontal="center" vertical="center" wrapText="1"/>
    </xf>
    <xf numFmtId="0" fontId="10" fillId="7" borderId="53" xfId="3" applyFill="1" applyBorder="1" applyAlignment="1">
      <alignment horizontal="center" vertical="center" wrapText="1"/>
    </xf>
    <xf numFmtId="0" fontId="10" fillId="7" borderId="50" xfId="3" applyFill="1" applyBorder="1" applyAlignment="1">
      <alignment horizontal="left" vertical="center" wrapText="1"/>
    </xf>
    <xf numFmtId="0" fontId="10" fillId="7" borderId="51" xfId="3" applyFill="1" applyBorder="1" applyAlignment="1">
      <alignment horizontal="left" vertical="center" wrapText="1"/>
    </xf>
    <xf numFmtId="0" fontId="19" fillId="7" borderId="9" xfId="3" applyFont="1" applyFill="1" applyBorder="1" applyAlignment="1">
      <alignment horizontal="center"/>
    </xf>
    <xf numFmtId="0" fontId="19" fillId="7" borderId="10" xfId="3" applyFont="1" applyFill="1" applyBorder="1" applyAlignment="1">
      <alignment horizontal="center"/>
    </xf>
    <xf numFmtId="0" fontId="19" fillId="7" borderId="11" xfId="3" applyFont="1" applyFill="1" applyBorder="1" applyAlignment="1">
      <alignment horizontal="center"/>
    </xf>
    <xf numFmtId="0" fontId="20" fillId="7" borderId="1" xfId="3" applyFont="1" applyFill="1" applyBorder="1" applyAlignment="1">
      <alignment horizontal="center" vertical="center"/>
    </xf>
    <xf numFmtId="0" fontId="20" fillId="7" borderId="2" xfId="3" applyFont="1" applyFill="1" applyBorder="1" applyAlignment="1">
      <alignment horizontal="center" vertical="center"/>
    </xf>
    <xf numFmtId="0" fontId="20" fillId="7" borderId="3" xfId="3" applyFont="1" applyFill="1" applyBorder="1" applyAlignment="1">
      <alignment horizontal="center" vertical="center"/>
    </xf>
    <xf numFmtId="0" fontId="20" fillId="7" borderId="6" xfId="3" applyFont="1" applyFill="1" applyBorder="1" applyAlignment="1">
      <alignment horizontal="center" vertical="center"/>
    </xf>
    <xf numFmtId="0" fontId="20" fillId="7" borderId="7" xfId="3" applyFont="1" applyFill="1" applyBorder="1" applyAlignment="1">
      <alignment horizontal="center" vertical="center"/>
    </xf>
    <xf numFmtId="0" fontId="20" fillId="7" borderId="8" xfId="3" applyFont="1" applyFill="1" applyBorder="1" applyAlignment="1">
      <alignment horizontal="center" vertical="center"/>
    </xf>
    <xf numFmtId="0" fontId="20" fillId="7" borderId="9" xfId="3" applyFont="1" applyFill="1" applyBorder="1" applyAlignment="1">
      <alignment horizontal="left" vertical="center"/>
    </xf>
    <xf numFmtId="0" fontId="20" fillId="7" borderId="10" xfId="3" applyFont="1" applyFill="1" applyBorder="1" applyAlignment="1">
      <alignment horizontal="left" vertical="center"/>
    </xf>
    <xf numFmtId="0" fontId="20" fillId="7" borderId="11" xfId="3" applyFont="1" applyFill="1" applyBorder="1" applyAlignment="1">
      <alignment horizontal="left" vertical="center"/>
    </xf>
    <xf numFmtId="0" fontId="20" fillId="7" borderId="9" xfId="3" applyFont="1" applyFill="1" applyBorder="1" applyAlignment="1">
      <alignment horizontal="center" vertical="center"/>
    </xf>
    <xf numFmtId="0" fontId="20" fillId="7" borderId="10" xfId="3" applyFont="1" applyFill="1" applyBorder="1" applyAlignment="1">
      <alignment horizontal="center" vertical="center"/>
    </xf>
    <xf numFmtId="165" fontId="20" fillId="7" borderId="10" xfId="3" applyNumberFormat="1" applyFont="1" applyFill="1" applyBorder="1" applyAlignment="1">
      <alignment horizontal="left" vertical="center"/>
    </xf>
    <xf numFmtId="43" fontId="20" fillId="7" borderId="9" xfId="3" applyNumberFormat="1" applyFont="1" applyFill="1" applyBorder="1" applyAlignment="1">
      <alignment horizontal="center" vertical="center"/>
    </xf>
    <xf numFmtId="0" fontId="20" fillId="7" borderId="11" xfId="3" applyFont="1" applyFill="1" applyBorder="1" applyAlignment="1">
      <alignment horizontal="center" vertical="center"/>
    </xf>
    <xf numFmtId="0" fontId="20" fillId="7" borderId="6" xfId="3" applyFont="1" applyFill="1" applyBorder="1" applyAlignment="1">
      <alignment horizontal="left" vertical="center" wrapText="1"/>
    </xf>
    <xf numFmtId="0" fontId="20" fillId="7" borderId="7" xfId="3" applyFont="1" applyFill="1" applyBorder="1" applyAlignment="1">
      <alignment horizontal="left" vertical="center" wrapText="1"/>
    </xf>
    <xf numFmtId="0" fontId="20" fillId="7" borderId="8" xfId="3" applyFont="1" applyFill="1" applyBorder="1" applyAlignment="1">
      <alignment horizontal="left" vertical="center" wrapText="1"/>
    </xf>
    <xf numFmtId="0" fontId="20" fillId="7" borderId="9" xfId="3" applyFont="1" applyFill="1" applyBorder="1" applyAlignment="1">
      <alignment horizontal="left" vertical="center" wrapText="1"/>
    </xf>
    <xf numFmtId="0" fontId="20" fillId="7" borderId="10" xfId="3" applyFont="1" applyFill="1" applyBorder="1" applyAlignment="1">
      <alignment horizontal="left" vertical="center" wrapText="1"/>
    </xf>
    <xf numFmtId="0" fontId="20" fillId="7" borderId="11" xfId="3" applyFont="1" applyFill="1" applyBorder="1" applyAlignment="1">
      <alignment horizontal="left" vertical="center" wrapText="1"/>
    </xf>
    <xf numFmtId="0" fontId="10" fillId="0" borderId="9" xfId="3" applyBorder="1" applyAlignment="1">
      <alignment horizontal="center" vertical="center" wrapText="1"/>
    </xf>
    <xf numFmtId="0" fontId="10" fillId="0" borderId="10" xfId="3" applyBorder="1" applyAlignment="1">
      <alignment horizontal="center" vertical="center" wrapText="1"/>
    </xf>
    <xf numFmtId="0" fontId="10" fillId="0" borderId="11" xfId="3" applyBorder="1" applyAlignment="1">
      <alignment horizontal="center" vertical="center" wrapText="1"/>
    </xf>
    <xf numFmtId="0" fontId="10" fillId="0" borderId="1" xfId="3" applyBorder="1" applyAlignment="1">
      <alignment horizontal="center" wrapText="1"/>
    </xf>
    <xf numFmtId="0" fontId="10" fillId="0" borderId="2" xfId="3" applyBorder="1" applyAlignment="1">
      <alignment horizontal="center" wrapText="1"/>
    </xf>
    <xf numFmtId="0" fontId="10" fillId="0" borderId="3" xfId="3" applyBorder="1" applyAlignment="1">
      <alignment horizontal="center" wrapText="1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0" xfId="0" quotePrefix="1"/>
    <xf numFmtId="49" fontId="7" fillId="0" borderId="20" xfId="0" applyNumberFormat="1" applyFont="1" applyBorder="1" applyAlignment="1">
      <alignment horizontal="left" vertical="justify" wrapText="1"/>
    </xf>
  </cellXfs>
  <cellStyles count="12">
    <cellStyle name="Moeda" xfId="8" builtinId="4"/>
    <cellStyle name="Normal" xfId="0" builtinId="0"/>
    <cellStyle name="Normal 160" xfId="7" xr:uid="{643FE091-2861-4A87-945B-44BE45556575}"/>
    <cellStyle name="Normal 2 2" xfId="9" xr:uid="{7F2D3D9F-122E-44EA-B03D-3FF39CC6155F}"/>
    <cellStyle name="Normal 2 2 2 2" xfId="3" xr:uid="{48F2B09E-5AB2-4CC9-BEFF-6592D682EE3A}"/>
    <cellStyle name="Normal 4" xfId="11" xr:uid="{8B27B176-FBB4-4C69-8E88-F14E93151198}"/>
    <cellStyle name="Porcentagem" xfId="2" builtinId="5"/>
    <cellStyle name="Porcentagem 2" xfId="10" xr:uid="{C8051236-8070-4C60-BAA1-AD50F445B5F1}"/>
    <cellStyle name="Vírgula" xfId="1" builtinId="3"/>
    <cellStyle name="Vírgula 4" xfId="6" xr:uid="{B958D03B-8224-4B52-90D5-D7DB1BEBFEF1}"/>
    <cellStyle name="Vírgula 4 2" xfId="5" xr:uid="{05534060-2341-4FFA-8284-DF5A73522DEC}"/>
    <cellStyle name="Vírgula 6 2 2 2" xfId="4" xr:uid="{70A743E7-CBB3-4D30-B780-D5A8736CAE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88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238875" y="15564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88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8875" y="15564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88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38875" y="15564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88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238875" y="15564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6238875" y="19159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6238875" y="19159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6238875" y="19159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6238875" y="19159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6324600" y="1156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6324600" y="1156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6324600" y="1156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324600" y="11563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5" name="CaixaDeTexto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19" name="CaixaDeTexto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48</xdr:row>
      <xdr:rowOff>0</xdr:rowOff>
    </xdr:from>
    <xdr:ext cx="184731" cy="264560"/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6324600" y="12753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30" name="CaixaDeTexto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31" name="CaixaDeTexto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32" name="CaixaDeTexto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33" name="CaixaDeTexto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51</xdr:row>
      <xdr:rowOff>0</xdr:rowOff>
    </xdr:from>
    <xdr:ext cx="184731" cy="264560"/>
    <xdr:sp macro="" textlink="">
      <xdr:nvSpPr>
        <xdr:cNvPr id="34" name="CaixaDeTexto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6324600" y="2379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35" name="CaixaDeTexto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36" name="CaixaDeTexto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37" name="CaixaDeTexto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38" name="CaixaDeTexto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39" name="CaixaDeTexto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40" name="CaixaDeTexto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54</xdr:row>
      <xdr:rowOff>0</xdr:rowOff>
    </xdr:from>
    <xdr:ext cx="184731" cy="264560"/>
    <xdr:sp macro="" textlink="">
      <xdr:nvSpPr>
        <xdr:cNvPr id="41" name="CaixaDeTexto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6324600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3" name="CaixaDeTexto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4" name="CaixaDeTexto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5" name="CaixaDeTexto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6" name="CaixaDeTexto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7" name="CaixaDeTexto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62</xdr:row>
      <xdr:rowOff>0</xdr:rowOff>
    </xdr:from>
    <xdr:ext cx="184731" cy="264560"/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/>
      </xdr:nvSpPr>
      <xdr:spPr>
        <a:xfrm>
          <a:off x="6324600" y="2692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2" name="CaixaDeTexto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3" name="CaixaDeTexto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4" name="CaixaDeTexto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5" name="CaixaDeTexto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6" name="CaixaDeTexto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7" name="CaixaDeTexto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85</xdr:row>
      <xdr:rowOff>0</xdr:rowOff>
    </xdr:from>
    <xdr:ext cx="184731" cy="264560"/>
    <xdr:sp macro="" textlink="">
      <xdr:nvSpPr>
        <xdr:cNvPr id="58" name="CaixaDeTexto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6324600" y="3567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59" name="CaixaDeTexto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0" name="CaixaDeTexto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1" name="CaixaDeTexto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2" name="CaixaDeTexto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3" name="CaixaDeTexto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4" name="CaixaDeTexto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5" name="CaixaDeTexto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49</xdr:row>
      <xdr:rowOff>0</xdr:rowOff>
    </xdr:from>
    <xdr:ext cx="184731" cy="264560"/>
    <xdr:sp macro="" textlink="">
      <xdr:nvSpPr>
        <xdr:cNvPr id="66" name="CaixaDeTexto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/>
      </xdr:nvSpPr>
      <xdr:spPr>
        <a:xfrm>
          <a:off x="6324600" y="2249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67" name="CaixaDeTexto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69" name="CaixaDeTexto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70" name="CaixaDeTexto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71" name="CaixaDeTexto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72" name="CaixaDeTexto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73" name="CaixaDeTexto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52</xdr:row>
      <xdr:rowOff>0</xdr:rowOff>
    </xdr:from>
    <xdr:ext cx="184731" cy="264560"/>
    <xdr:sp macro="" textlink="">
      <xdr:nvSpPr>
        <xdr:cNvPr id="74" name="CaixaDeTexto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/>
      </xdr:nvSpPr>
      <xdr:spPr>
        <a:xfrm>
          <a:off x="6324600" y="2446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75" name="CaixaDeTexto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76" name="CaixaDeTexto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77" name="CaixaDeTexto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78" name="CaixaDeTexto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79" name="CaixaDeTexto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80" name="CaixaDeTexto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81" name="CaixaDeTexto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63</xdr:row>
      <xdr:rowOff>0</xdr:rowOff>
    </xdr:from>
    <xdr:ext cx="184731" cy="264560"/>
    <xdr:sp macro="" textlink="">
      <xdr:nvSpPr>
        <xdr:cNvPr id="82" name="CaixaDeTexto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/>
      </xdr:nvSpPr>
      <xdr:spPr>
        <a:xfrm>
          <a:off x="6324600" y="3347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5FA48C4-D3A9-40B7-A4CA-81CF806804B1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550BD3F-E40B-4186-8BB3-1FDE43E242CD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940C7261-6C5F-4E41-988F-70E7A2A7F2C3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24E250EA-D165-4D41-A686-07A0A23BA329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FF2C7C1-493B-4935-B3FD-3514C6C98ADD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83" name="CaixaDeTexto 82">
          <a:extLst>
            <a:ext uri="{FF2B5EF4-FFF2-40B4-BE49-F238E27FC236}">
              <a16:creationId xmlns:a16="http://schemas.microsoft.com/office/drawing/2014/main" id="{0F00061C-764F-48C3-96E7-95BF9FD1A74D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84" name="CaixaDeTexto 83">
          <a:extLst>
            <a:ext uri="{FF2B5EF4-FFF2-40B4-BE49-F238E27FC236}">
              <a16:creationId xmlns:a16="http://schemas.microsoft.com/office/drawing/2014/main" id="{3AF35110-CC99-4C6F-9E7A-E000E8714BFA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59</xdr:row>
      <xdr:rowOff>0</xdr:rowOff>
    </xdr:from>
    <xdr:ext cx="184731" cy="264560"/>
    <xdr:sp macro="" textlink="">
      <xdr:nvSpPr>
        <xdr:cNvPr id="85" name="CaixaDeTexto 84">
          <a:extLst>
            <a:ext uri="{FF2B5EF4-FFF2-40B4-BE49-F238E27FC236}">
              <a16:creationId xmlns:a16="http://schemas.microsoft.com/office/drawing/2014/main" id="{5E9F5B7A-85BE-4710-BAD1-211ECB00CDFD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86" name="CaixaDeTexto 85">
          <a:extLst>
            <a:ext uri="{FF2B5EF4-FFF2-40B4-BE49-F238E27FC236}">
              <a16:creationId xmlns:a16="http://schemas.microsoft.com/office/drawing/2014/main" id="{5D72F4E0-91FD-49A2-9F66-4916364E7400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87" name="CaixaDeTexto 86">
          <a:extLst>
            <a:ext uri="{FF2B5EF4-FFF2-40B4-BE49-F238E27FC236}">
              <a16:creationId xmlns:a16="http://schemas.microsoft.com/office/drawing/2014/main" id="{8BDD4CDC-9FEE-4BA6-BD6D-8E92E81FF02D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88" name="CaixaDeTexto 87">
          <a:extLst>
            <a:ext uri="{FF2B5EF4-FFF2-40B4-BE49-F238E27FC236}">
              <a16:creationId xmlns:a16="http://schemas.microsoft.com/office/drawing/2014/main" id="{5BACA67F-2981-4170-BFC8-DB6B7416CBB9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89" name="CaixaDeTexto 88">
          <a:extLst>
            <a:ext uri="{FF2B5EF4-FFF2-40B4-BE49-F238E27FC236}">
              <a16:creationId xmlns:a16="http://schemas.microsoft.com/office/drawing/2014/main" id="{B21B595F-C7B6-45F9-A4D1-14119C7CE5BD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90" name="CaixaDeTexto 89">
          <a:extLst>
            <a:ext uri="{FF2B5EF4-FFF2-40B4-BE49-F238E27FC236}">
              <a16:creationId xmlns:a16="http://schemas.microsoft.com/office/drawing/2014/main" id="{C032995A-A0B3-4535-8AE6-FEC6E2E14FE7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91" name="CaixaDeTexto 90">
          <a:extLst>
            <a:ext uri="{FF2B5EF4-FFF2-40B4-BE49-F238E27FC236}">
              <a16:creationId xmlns:a16="http://schemas.microsoft.com/office/drawing/2014/main" id="{D90D3B1A-0CD0-47EC-94DB-00ED7B5090C1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92" name="CaixaDeTexto 91">
          <a:extLst>
            <a:ext uri="{FF2B5EF4-FFF2-40B4-BE49-F238E27FC236}">
              <a16:creationId xmlns:a16="http://schemas.microsoft.com/office/drawing/2014/main" id="{CC80E60C-C6A1-437B-893D-5F79BC0A94B1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61</xdr:row>
      <xdr:rowOff>0</xdr:rowOff>
    </xdr:from>
    <xdr:ext cx="184731" cy="264560"/>
    <xdr:sp macro="" textlink="">
      <xdr:nvSpPr>
        <xdr:cNvPr id="93" name="CaixaDeTexto 92">
          <a:extLst>
            <a:ext uri="{FF2B5EF4-FFF2-40B4-BE49-F238E27FC236}">
              <a16:creationId xmlns:a16="http://schemas.microsoft.com/office/drawing/2014/main" id="{83475F66-DC5E-48C0-BDE0-2278B22650C6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4" name="CaixaDeTexto 93">
          <a:extLst>
            <a:ext uri="{FF2B5EF4-FFF2-40B4-BE49-F238E27FC236}">
              <a16:creationId xmlns:a16="http://schemas.microsoft.com/office/drawing/2014/main" id="{460E0B75-489D-4D54-B4BE-0853EB399758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5" name="CaixaDeTexto 94">
          <a:extLst>
            <a:ext uri="{FF2B5EF4-FFF2-40B4-BE49-F238E27FC236}">
              <a16:creationId xmlns:a16="http://schemas.microsoft.com/office/drawing/2014/main" id="{0C5864B5-A701-4306-B473-28CA8F994B70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6" name="CaixaDeTexto 95">
          <a:extLst>
            <a:ext uri="{FF2B5EF4-FFF2-40B4-BE49-F238E27FC236}">
              <a16:creationId xmlns:a16="http://schemas.microsoft.com/office/drawing/2014/main" id="{A203B26C-BC19-4C97-BEDD-91992D967731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7" name="CaixaDeTexto 96">
          <a:extLst>
            <a:ext uri="{FF2B5EF4-FFF2-40B4-BE49-F238E27FC236}">
              <a16:creationId xmlns:a16="http://schemas.microsoft.com/office/drawing/2014/main" id="{3692A99F-E470-4EC1-B4BD-F1251E95764C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8" name="CaixaDeTexto 97">
          <a:extLst>
            <a:ext uri="{FF2B5EF4-FFF2-40B4-BE49-F238E27FC236}">
              <a16:creationId xmlns:a16="http://schemas.microsoft.com/office/drawing/2014/main" id="{C09D2322-1B07-4BC0-AE73-38BDD4C8E20A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99" name="CaixaDeTexto 98">
          <a:extLst>
            <a:ext uri="{FF2B5EF4-FFF2-40B4-BE49-F238E27FC236}">
              <a16:creationId xmlns:a16="http://schemas.microsoft.com/office/drawing/2014/main" id="{3F12B5D0-52F9-4CA6-A933-699963222B0B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100" name="CaixaDeTexto 99">
          <a:extLst>
            <a:ext uri="{FF2B5EF4-FFF2-40B4-BE49-F238E27FC236}">
              <a16:creationId xmlns:a16="http://schemas.microsoft.com/office/drawing/2014/main" id="{DEBD7E2A-1D9C-4D66-BE00-46A7DB7EBCAC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79</xdr:row>
      <xdr:rowOff>0</xdr:rowOff>
    </xdr:from>
    <xdr:ext cx="184731" cy="264560"/>
    <xdr:sp macro="" textlink="">
      <xdr:nvSpPr>
        <xdr:cNvPr id="101" name="CaixaDeTexto 100">
          <a:extLst>
            <a:ext uri="{FF2B5EF4-FFF2-40B4-BE49-F238E27FC236}">
              <a16:creationId xmlns:a16="http://schemas.microsoft.com/office/drawing/2014/main" id="{7F4D28F8-08C4-4218-9DB3-409B81A90015}"/>
            </a:ext>
          </a:extLst>
        </xdr:cNvPr>
        <xdr:cNvSpPr txBox="1"/>
      </xdr:nvSpPr>
      <xdr:spPr>
        <a:xfrm>
          <a:off x="6324600" y="1816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2" name="CaixaDeTexto 101">
          <a:extLst>
            <a:ext uri="{FF2B5EF4-FFF2-40B4-BE49-F238E27FC236}">
              <a16:creationId xmlns:a16="http://schemas.microsoft.com/office/drawing/2014/main" id="{827AAE9A-F23D-48E7-8AC8-31A4A614EB84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3" name="CaixaDeTexto 102">
          <a:extLst>
            <a:ext uri="{FF2B5EF4-FFF2-40B4-BE49-F238E27FC236}">
              <a16:creationId xmlns:a16="http://schemas.microsoft.com/office/drawing/2014/main" id="{5F49C6A0-8220-4B1C-95D8-C2C8B2830B41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4" name="CaixaDeTexto 103">
          <a:extLst>
            <a:ext uri="{FF2B5EF4-FFF2-40B4-BE49-F238E27FC236}">
              <a16:creationId xmlns:a16="http://schemas.microsoft.com/office/drawing/2014/main" id="{D104589C-ABAF-4500-B3BF-8D96F8118187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5" name="CaixaDeTexto 104">
          <a:extLst>
            <a:ext uri="{FF2B5EF4-FFF2-40B4-BE49-F238E27FC236}">
              <a16:creationId xmlns:a16="http://schemas.microsoft.com/office/drawing/2014/main" id="{DC8B0C39-74B9-4663-B798-6AEECEDDE9DB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6" name="CaixaDeTexto 105">
          <a:extLst>
            <a:ext uri="{FF2B5EF4-FFF2-40B4-BE49-F238E27FC236}">
              <a16:creationId xmlns:a16="http://schemas.microsoft.com/office/drawing/2014/main" id="{1BE4633A-5F7A-4E2E-99BB-3DF84E2B9A11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7" name="CaixaDeTexto 106">
          <a:extLst>
            <a:ext uri="{FF2B5EF4-FFF2-40B4-BE49-F238E27FC236}">
              <a16:creationId xmlns:a16="http://schemas.microsoft.com/office/drawing/2014/main" id="{442A0E64-4BED-497D-A7D8-C9F61489F61C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8" name="CaixaDeTexto 107">
          <a:extLst>
            <a:ext uri="{FF2B5EF4-FFF2-40B4-BE49-F238E27FC236}">
              <a16:creationId xmlns:a16="http://schemas.microsoft.com/office/drawing/2014/main" id="{5232E160-BB36-4E45-BC23-C5B8887D4607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77</xdr:row>
      <xdr:rowOff>0</xdr:rowOff>
    </xdr:from>
    <xdr:ext cx="184731" cy="264560"/>
    <xdr:sp macro="" textlink="">
      <xdr:nvSpPr>
        <xdr:cNvPr id="109" name="CaixaDeTexto 108">
          <a:extLst>
            <a:ext uri="{FF2B5EF4-FFF2-40B4-BE49-F238E27FC236}">
              <a16:creationId xmlns:a16="http://schemas.microsoft.com/office/drawing/2014/main" id="{48009A75-DEC2-4436-B4E7-B4F6823F25D0}"/>
            </a:ext>
          </a:extLst>
        </xdr:cNvPr>
        <xdr:cNvSpPr txBox="1"/>
      </xdr:nvSpPr>
      <xdr:spPr>
        <a:xfrm>
          <a:off x="6324600" y="1748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42" name="CaixaDeTexto 41">
          <a:extLst>
            <a:ext uri="{FF2B5EF4-FFF2-40B4-BE49-F238E27FC236}">
              <a16:creationId xmlns:a16="http://schemas.microsoft.com/office/drawing/2014/main" id="{5C0E648B-AC5F-4253-9B37-C3144EE04AD0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0" name="CaixaDeTexto 109">
          <a:extLst>
            <a:ext uri="{FF2B5EF4-FFF2-40B4-BE49-F238E27FC236}">
              <a16:creationId xmlns:a16="http://schemas.microsoft.com/office/drawing/2014/main" id="{D753DC81-46F6-4935-A95C-BEEFD6838E63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1" name="CaixaDeTexto 110">
          <a:extLst>
            <a:ext uri="{FF2B5EF4-FFF2-40B4-BE49-F238E27FC236}">
              <a16:creationId xmlns:a16="http://schemas.microsoft.com/office/drawing/2014/main" id="{B7CD69C1-AC38-47DA-A52F-82FCD17FD7B8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2" name="CaixaDeTexto 111">
          <a:extLst>
            <a:ext uri="{FF2B5EF4-FFF2-40B4-BE49-F238E27FC236}">
              <a16:creationId xmlns:a16="http://schemas.microsoft.com/office/drawing/2014/main" id="{82F9F85B-0DC6-48DD-8AF2-CD1E7592D715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3" name="CaixaDeTexto 112">
          <a:extLst>
            <a:ext uri="{FF2B5EF4-FFF2-40B4-BE49-F238E27FC236}">
              <a16:creationId xmlns:a16="http://schemas.microsoft.com/office/drawing/2014/main" id="{4145C9DC-F688-43B6-AB8F-19BBA2D863AF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4" name="CaixaDeTexto 113">
          <a:extLst>
            <a:ext uri="{FF2B5EF4-FFF2-40B4-BE49-F238E27FC236}">
              <a16:creationId xmlns:a16="http://schemas.microsoft.com/office/drawing/2014/main" id="{4F7F6CD5-A9D2-43E0-ABEB-7F8ABB8B88FA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5" name="CaixaDeTexto 114">
          <a:extLst>
            <a:ext uri="{FF2B5EF4-FFF2-40B4-BE49-F238E27FC236}">
              <a16:creationId xmlns:a16="http://schemas.microsoft.com/office/drawing/2014/main" id="{40BEB5D5-FD61-4E70-B969-2AF2882E2E2F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34</xdr:row>
      <xdr:rowOff>0</xdr:rowOff>
    </xdr:from>
    <xdr:ext cx="184731" cy="264560"/>
    <xdr:sp macro="" textlink="">
      <xdr:nvSpPr>
        <xdr:cNvPr id="116" name="CaixaDeTexto 115">
          <a:extLst>
            <a:ext uri="{FF2B5EF4-FFF2-40B4-BE49-F238E27FC236}">
              <a16:creationId xmlns:a16="http://schemas.microsoft.com/office/drawing/2014/main" id="{84EA0906-01FD-420E-A0E7-C201834A9ABB}"/>
            </a:ext>
          </a:extLst>
        </xdr:cNvPr>
        <xdr:cNvSpPr txBox="1"/>
      </xdr:nvSpPr>
      <xdr:spPr>
        <a:xfrm>
          <a:off x="6324600" y="1829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17" name="CaixaDeTexto 116">
          <a:extLst>
            <a:ext uri="{FF2B5EF4-FFF2-40B4-BE49-F238E27FC236}">
              <a16:creationId xmlns:a16="http://schemas.microsoft.com/office/drawing/2014/main" id="{DF2633D5-D155-4BD4-88B7-77CA4EC46362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18" name="CaixaDeTexto 117">
          <a:extLst>
            <a:ext uri="{FF2B5EF4-FFF2-40B4-BE49-F238E27FC236}">
              <a16:creationId xmlns:a16="http://schemas.microsoft.com/office/drawing/2014/main" id="{6E5A31AA-3CEE-483E-81C5-F7F8A101D7A4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19" name="CaixaDeTexto 118">
          <a:extLst>
            <a:ext uri="{FF2B5EF4-FFF2-40B4-BE49-F238E27FC236}">
              <a16:creationId xmlns:a16="http://schemas.microsoft.com/office/drawing/2014/main" id="{1D92DA3A-EDC3-4C5D-8974-3B0D1EA6F3E2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20" name="CaixaDeTexto 119">
          <a:extLst>
            <a:ext uri="{FF2B5EF4-FFF2-40B4-BE49-F238E27FC236}">
              <a16:creationId xmlns:a16="http://schemas.microsoft.com/office/drawing/2014/main" id="{3477ADCC-4B10-4359-BC9F-D90DB3C0D932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C42FD75C-6DEF-4E42-8902-A8A27B23696B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8E753718-786A-4524-B8CB-EC242D88D91C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23" name="CaixaDeTexto 122">
          <a:extLst>
            <a:ext uri="{FF2B5EF4-FFF2-40B4-BE49-F238E27FC236}">
              <a16:creationId xmlns:a16="http://schemas.microsoft.com/office/drawing/2014/main" id="{3EE3534B-2AA6-49EC-A83F-E31EB5ABC309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36</xdr:row>
      <xdr:rowOff>0</xdr:rowOff>
    </xdr:from>
    <xdr:ext cx="184731" cy="264560"/>
    <xdr:sp macro="" textlink="">
      <xdr:nvSpPr>
        <xdr:cNvPr id="124" name="CaixaDeTexto 123">
          <a:extLst>
            <a:ext uri="{FF2B5EF4-FFF2-40B4-BE49-F238E27FC236}">
              <a16:creationId xmlns:a16="http://schemas.microsoft.com/office/drawing/2014/main" id="{CE0EB2CA-2DDA-4089-8A90-E723EC06FDE9}"/>
            </a:ext>
          </a:extLst>
        </xdr:cNvPr>
        <xdr:cNvSpPr txBox="1"/>
      </xdr:nvSpPr>
      <xdr:spPr>
        <a:xfrm>
          <a:off x="6324600" y="1897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125" name="CaixaDeTexto 124">
          <a:extLst>
            <a:ext uri="{FF2B5EF4-FFF2-40B4-BE49-F238E27FC236}">
              <a16:creationId xmlns:a16="http://schemas.microsoft.com/office/drawing/2014/main" id="{D1CCC19B-A0F8-46B7-98C8-61331BF571EB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126" name="CaixaDeTexto 125">
          <a:extLst>
            <a:ext uri="{FF2B5EF4-FFF2-40B4-BE49-F238E27FC236}">
              <a16:creationId xmlns:a16="http://schemas.microsoft.com/office/drawing/2014/main" id="{8FEA4AD8-36B2-474D-9CAC-2019DA00CEF2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127" name="CaixaDeTexto 126">
          <a:extLst>
            <a:ext uri="{FF2B5EF4-FFF2-40B4-BE49-F238E27FC236}">
              <a16:creationId xmlns:a16="http://schemas.microsoft.com/office/drawing/2014/main" id="{3FD3C68C-D0FC-4C33-B11F-F8F79A0D93C9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3072" name="CaixaDeTexto 3071">
          <a:extLst>
            <a:ext uri="{FF2B5EF4-FFF2-40B4-BE49-F238E27FC236}">
              <a16:creationId xmlns:a16="http://schemas.microsoft.com/office/drawing/2014/main" id="{21EB84E1-C45C-476B-A0B2-B77BE05A5705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3073" name="CaixaDeTexto 3072">
          <a:extLst>
            <a:ext uri="{FF2B5EF4-FFF2-40B4-BE49-F238E27FC236}">
              <a16:creationId xmlns:a16="http://schemas.microsoft.com/office/drawing/2014/main" id="{F5D034FC-181B-4358-86BA-602C37934CA5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3074" name="CaixaDeTexto 3073">
          <a:extLst>
            <a:ext uri="{FF2B5EF4-FFF2-40B4-BE49-F238E27FC236}">
              <a16:creationId xmlns:a16="http://schemas.microsoft.com/office/drawing/2014/main" id="{EA33BD22-F8B9-40D7-9251-AEDC32A74DDD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3076" name="CaixaDeTexto 3075">
          <a:extLst>
            <a:ext uri="{FF2B5EF4-FFF2-40B4-BE49-F238E27FC236}">
              <a16:creationId xmlns:a16="http://schemas.microsoft.com/office/drawing/2014/main" id="{B3B8E00F-F94F-41E5-A699-3E2251EA9E04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  <xdr:oneCellAnchor>
    <xdr:from>
      <xdr:col>6</xdr:col>
      <xdr:colOff>0</xdr:colOff>
      <xdr:row>37</xdr:row>
      <xdr:rowOff>0</xdr:rowOff>
    </xdr:from>
    <xdr:ext cx="184731" cy="264560"/>
    <xdr:sp macro="" textlink="">
      <xdr:nvSpPr>
        <xdr:cNvPr id="3077" name="CaixaDeTexto 3076">
          <a:extLst>
            <a:ext uri="{FF2B5EF4-FFF2-40B4-BE49-F238E27FC236}">
              <a16:creationId xmlns:a16="http://schemas.microsoft.com/office/drawing/2014/main" id="{BE8CD68F-9D1D-499F-A289-9866FDE6192D}"/>
            </a:ext>
          </a:extLst>
        </xdr:cNvPr>
        <xdr:cNvSpPr txBox="1"/>
      </xdr:nvSpPr>
      <xdr:spPr>
        <a:xfrm>
          <a:off x="6324600" y="19707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354807</xdr:colOff>
          <xdr:row>0</xdr:row>
          <xdr:rowOff>126206</xdr:rowOff>
        </xdr:from>
        <xdr:to>
          <xdr:col>1</xdr:col>
          <xdr:colOff>578644</xdr:colOff>
          <xdr:row>7</xdr:row>
          <xdr:rowOff>35718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89BDBD3C-2117-1BF8-4D9D-862C3AA3E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0"/>
              </a:srgbClr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5FAE3-9A06-4709-98BA-3D4977D9961C}">
  <dimension ref="A1:L100"/>
  <sheetViews>
    <sheetView topLeftCell="A88" workbookViewId="0">
      <selection activeCell="C99" sqref="C99"/>
    </sheetView>
  </sheetViews>
  <sheetFormatPr defaultRowHeight="15" x14ac:dyDescent="0.25"/>
  <cols>
    <col min="1" max="1" width="6.42578125" customWidth="1"/>
    <col min="2" max="2" width="12.7109375" customWidth="1"/>
    <col min="3" max="3" width="12.85546875" customWidth="1"/>
    <col min="4" max="4" width="42.5703125" customWidth="1"/>
    <col min="5" max="5" width="7.42578125" customWidth="1"/>
    <col min="6" max="6" width="11.5703125" customWidth="1"/>
    <col min="7" max="7" width="12.28515625" customWidth="1"/>
    <col min="8" max="8" width="11" customWidth="1"/>
    <col min="9" max="9" width="18" customWidth="1"/>
    <col min="11" max="11" width="13.28515625" bestFit="1" customWidth="1"/>
    <col min="12" max="12" width="39.5703125" customWidth="1"/>
  </cols>
  <sheetData>
    <row r="1" spans="1:9" x14ac:dyDescent="0.25">
      <c r="A1" s="1"/>
      <c r="B1" s="2"/>
      <c r="C1" s="3"/>
      <c r="D1" s="4"/>
      <c r="E1" s="2"/>
      <c r="F1" s="5"/>
      <c r="G1" s="5"/>
      <c r="H1" s="5"/>
      <c r="I1" s="6"/>
    </row>
    <row r="2" spans="1:9" ht="21" x14ac:dyDescent="0.35">
      <c r="A2" s="268" t="s">
        <v>306</v>
      </c>
      <c r="B2" s="269"/>
      <c r="C2" s="269"/>
      <c r="D2" s="269"/>
      <c r="E2" s="269"/>
      <c r="F2" s="269"/>
      <c r="G2" s="269"/>
      <c r="H2" s="269"/>
      <c r="I2" s="270"/>
    </row>
    <row r="3" spans="1:9" x14ac:dyDescent="0.25">
      <c r="A3" s="271"/>
      <c r="B3" s="272"/>
      <c r="C3" s="272"/>
      <c r="D3" s="272"/>
      <c r="E3" s="272"/>
      <c r="F3" s="272"/>
      <c r="G3" s="272"/>
      <c r="H3" s="272"/>
      <c r="I3" s="273"/>
    </row>
    <row r="4" spans="1:9" x14ac:dyDescent="0.25">
      <c r="A4" s="274"/>
      <c r="B4" s="275"/>
      <c r="C4" s="275"/>
      <c r="D4" s="275"/>
      <c r="E4" s="275"/>
      <c r="F4" s="275"/>
      <c r="G4" s="275"/>
      <c r="H4" s="275"/>
      <c r="I4" s="276"/>
    </row>
    <row r="5" spans="1:9" x14ac:dyDescent="0.25">
      <c r="A5" s="274"/>
      <c r="B5" s="275"/>
      <c r="C5" s="275"/>
      <c r="D5" s="275"/>
      <c r="E5" s="275"/>
      <c r="F5" s="275"/>
      <c r="G5" s="275"/>
      <c r="H5" s="275"/>
      <c r="I5" s="276"/>
    </row>
    <row r="6" spans="1:9" x14ac:dyDescent="0.25">
      <c r="A6" s="274"/>
      <c r="B6" s="275"/>
      <c r="C6" s="275"/>
      <c r="D6" s="275"/>
      <c r="E6" s="275"/>
      <c r="F6" s="275"/>
      <c r="G6" s="275"/>
      <c r="H6" s="275"/>
      <c r="I6" s="276"/>
    </row>
    <row r="7" spans="1:9" ht="15.75" thickBot="1" x14ac:dyDescent="0.3">
      <c r="A7" s="7"/>
      <c r="B7" s="8"/>
      <c r="C7" s="9"/>
      <c r="D7" s="10"/>
      <c r="E7" s="8"/>
      <c r="F7" s="11"/>
      <c r="G7" s="11"/>
      <c r="H7" s="11"/>
      <c r="I7" s="12"/>
    </row>
    <row r="8" spans="1:9" ht="15.75" thickBot="1" x14ac:dyDescent="0.3">
      <c r="A8" s="13"/>
      <c r="B8" s="13"/>
      <c r="C8" s="14"/>
      <c r="D8" s="15"/>
      <c r="E8" s="13"/>
      <c r="F8" s="16"/>
      <c r="G8" s="16"/>
      <c r="H8" s="16"/>
      <c r="I8" s="16"/>
    </row>
    <row r="9" spans="1:9" ht="16.5" thickBot="1" x14ac:dyDescent="0.3">
      <c r="A9" s="265" t="s">
        <v>0</v>
      </c>
      <c r="B9" s="266"/>
      <c r="C9" s="266"/>
      <c r="D9" s="266"/>
      <c r="E9" s="266"/>
      <c r="F9" s="266"/>
      <c r="G9" s="266"/>
      <c r="H9" s="266"/>
      <c r="I9" s="267"/>
    </row>
    <row r="10" spans="1:9" ht="15.75" thickBot="1" x14ac:dyDescent="0.3">
      <c r="A10" s="259"/>
      <c r="B10" s="259"/>
      <c r="C10" s="259"/>
      <c r="D10" s="259"/>
      <c r="E10" s="259"/>
      <c r="F10" s="259"/>
      <c r="G10" s="259"/>
      <c r="H10" s="259"/>
      <c r="I10" s="259"/>
    </row>
    <row r="11" spans="1:9" x14ac:dyDescent="0.25">
      <c r="A11" s="17" t="s">
        <v>116</v>
      </c>
      <c r="B11" s="18"/>
      <c r="C11" s="18"/>
      <c r="D11" s="18"/>
      <c r="E11" s="18"/>
      <c r="F11" s="18"/>
      <c r="G11" s="260" t="s">
        <v>305</v>
      </c>
      <c r="H11" s="261"/>
      <c r="I11" s="262"/>
    </row>
    <row r="12" spans="1:9" x14ac:dyDescent="0.25">
      <c r="A12" s="19" t="s">
        <v>117</v>
      </c>
      <c r="B12" s="20"/>
      <c r="C12" s="20"/>
      <c r="D12" s="20"/>
      <c r="E12" s="20"/>
      <c r="F12" s="20"/>
      <c r="G12" s="21"/>
      <c r="H12" s="22"/>
      <c r="I12" s="23"/>
    </row>
    <row r="13" spans="1:9" x14ac:dyDescent="0.25">
      <c r="A13" s="19" t="s">
        <v>118</v>
      </c>
      <c r="B13" s="20"/>
      <c r="C13" s="20"/>
      <c r="D13" s="20"/>
      <c r="E13" s="20"/>
      <c r="F13" s="20"/>
      <c r="G13" s="66" t="s">
        <v>119</v>
      </c>
      <c r="H13" s="21"/>
      <c r="I13" s="24"/>
    </row>
    <row r="14" spans="1:9" ht="24" customHeight="1" x14ac:dyDescent="0.25">
      <c r="A14" s="19" t="s">
        <v>196</v>
      </c>
      <c r="B14" s="19"/>
      <c r="C14" s="19"/>
      <c r="D14" s="19"/>
      <c r="E14" s="20"/>
      <c r="F14" s="20"/>
      <c r="G14" s="21" t="s">
        <v>1</v>
      </c>
      <c r="H14" s="22"/>
      <c r="I14" s="23"/>
    </row>
    <row r="15" spans="1:9" ht="15.75" customHeight="1" x14ac:dyDescent="0.25">
      <c r="A15" s="19" t="s">
        <v>307</v>
      </c>
      <c r="B15" s="19"/>
      <c r="C15" s="19"/>
      <c r="D15" s="19"/>
      <c r="E15" s="20"/>
      <c r="F15" s="25"/>
      <c r="G15" s="26" t="s">
        <v>2</v>
      </c>
      <c r="H15" s="22" t="s">
        <v>24</v>
      </c>
      <c r="I15" s="23" t="s">
        <v>27</v>
      </c>
    </row>
    <row r="16" spans="1:9" ht="15.75" thickBot="1" x14ac:dyDescent="0.3">
      <c r="A16" s="230" t="s">
        <v>304</v>
      </c>
      <c r="B16" s="27"/>
      <c r="C16" s="27"/>
      <c r="D16" s="27"/>
      <c r="E16" s="27"/>
      <c r="F16" s="28"/>
      <c r="G16" s="29" t="s">
        <v>3</v>
      </c>
      <c r="H16" s="30"/>
      <c r="I16" s="31">
        <f>BDI!H13</f>
        <v>0.21510000000000001</v>
      </c>
    </row>
    <row r="17" spans="1:12" ht="15.75" thickBot="1" x14ac:dyDescent="0.3">
      <c r="A17" s="263"/>
      <c r="B17" s="264"/>
      <c r="C17" s="263"/>
      <c r="D17" s="263"/>
      <c r="E17" s="263"/>
      <c r="F17" s="263"/>
      <c r="G17" s="263"/>
      <c r="H17" s="263"/>
      <c r="I17" s="263"/>
    </row>
    <row r="18" spans="1:12" ht="39" thickBot="1" x14ac:dyDescent="0.3">
      <c r="A18" s="32" t="s">
        <v>4</v>
      </c>
      <c r="B18" s="33" t="s">
        <v>5</v>
      </c>
      <c r="C18" s="34" t="s">
        <v>6</v>
      </c>
      <c r="D18" s="35" t="s">
        <v>7</v>
      </c>
      <c r="E18" s="36" t="s">
        <v>15</v>
      </c>
      <c r="F18" s="37" t="s">
        <v>9</v>
      </c>
      <c r="G18" s="37" t="s">
        <v>10</v>
      </c>
      <c r="H18" s="38" t="s">
        <v>11</v>
      </c>
      <c r="I18" s="39" t="s">
        <v>12</v>
      </c>
    </row>
    <row r="19" spans="1:12" x14ac:dyDescent="0.25">
      <c r="A19" s="40"/>
      <c r="B19" s="41"/>
      <c r="C19" s="42"/>
      <c r="D19" s="43"/>
      <c r="E19" s="44"/>
      <c r="F19" s="45"/>
      <c r="G19" s="45"/>
      <c r="H19" s="46"/>
      <c r="I19" s="47"/>
    </row>
    <row r="20" spans="1:12" x14ac:dyDescent="0.25">
      <c r="A20" s="223" t="s">
        <v>106</v>
      </c>
      <c r="B20" s="224"/>
      <c r="C20" s="224"/>
      <c r="D20" s="225" t="s">
        <v>122</v>
      </c>
      <c r="E20" s="226"/>
      <c r="F20" s="227"/>
      <c r="G20" s="227"/>
      <c r="H20" s="228"/>
      <c r="I20" s="229">
        <f>I21+I35+I23</f>
        <v>106544.17</v>
      </c>
      <c r="L20" s="65"/>
    </row>
    <row r="21" spans="1:12" x14ac:dyDescent="0.25">
      <c r="A21" s="48" t="s">
        <v>13</v>
      </c>
      <c r="B21" s="49"/>
      <c r="C21" s="49"/>
      <c r="D21" s="50" t="s">
        <v>95</v>
      </c>
      <c r="E21" s="51"/>
      <c r="F21" s="52"/>
      <c r="G21" s="52"/>
      <c r="H21" s="53"/>
      <c r="I21" s="54">
        <f>ROUND(SUM(I22:I22),2)</f>
        <v>1768.41</v>
      </c>
      <c r="L21" s="65"/>
    </row>
    <row r="22" spans="1:12" ht="38.25" x14ac:dyDescent="0.25">
      <c r="A22" s="55" t="s">
        <v>13</v>
      </c>
      <c r="B22" s="56" t="s">
        <v>121</v>
      </c>
      <c r="C22" s="57" t="s">
        <v>18</v>
      </c>
      <c r="D22" s="58" t="s">
        <v>120</v>
      </c>
      <c r="E22" s="59" t="s">
        <v>14</v>
      </c>
      <c r="F22" s="60">
        <f>'Memória de Cálculo'!F22</f>
        <v>2.88</v>
      </c>
      <c r="G22" s="61">
        <v>505.33</v>
      </c>
      <c r="H22" s="62">
        <f>ROUND(G22*(1+$I$16),2)</f>
        <v>614.03</v>
      </c>
      <c r="I22" s="63">
        <f>ROUND(F22*H22,2)</f>
        <v>1768.41</v>
      </c>
      <c r="L22" s="65"/>
    </row>
    <row r="23" spans="1:12" x14ac:dyDescent="0.25">
      <c r="A23" s="48" t="s">
        <v>16</v>
      </c>
      <c r="B23" s="49"/>
      <c r="C23" s="49"/>
      <c r="D23" s="50" t="s">
        <v>123</v>
      </c>
      <c r="E23" s="51"/>
      <c r="F23" s="52"/>
      <c r="G23" s="52"/>
      <c r="H23" s="53"/>
      <c r="I23" s="54">
        <f>ROUND(SUM(I24:I34),2)</f>
        <v>42771.76</v>
      </c>
      <c r="K23" s="65">
        <f>F39+F55+F66+F85</f>
        <v>4042.61</v>
      </c>
      <c r="L23" s="64"/>
    </row>
    <row r="24" spans="1:12" ht="63.75" x14ac:dyDescent="0.25">
      <c r="A24" s="55" t="s">
        <v>152</v>
      </c>
      <c r="B24" s="56">
        <v>95565</v>
      </c>
      <c r="C24" s="56" t="s">
        <v>18</v>
      </c>
      <c r="D24" s="58" t="s">
        <v>269</v>
      </c>
      <c r="E24" s="59" t="s">
        <v>14</v>
      </c>
      <c r="F24" s="60">
        <f>'Memória de Cálculo'!F24</f>
        <v>6</v>
      </c>
      <c r="G24" s="61">
        <v>121.63</v>
      </c>
      <c r="H24" s="62">
        <f>ROUND(G24*(1+$I$16),2)</f>
        <v>147.79</v>
      </c>
      <c r="I24" s="63">
        <f>ROUND(F24*H24,2)</f>
        <v>886.74</v>
      </c>
      <c r="L24" s="64"/>
    </row>
    <row r="25" spans="1:12" ht="63.75" x14ac:dyDescent="0.25">
      <c r="A25" s="55" t="s">
        <v>153</v>
      </c>
      <c r="B25" s="56" t="s">
        <v>125</v>
      </c>
      <c r="C25" s="57" t="s">
        <v>18</v>
      </c>
      <c r="D25" s="58" t="s">
        <v>124</v>
      </c>
      <c r="E25" s="59" t="s">
        <v>21</v>
      </c>
      <c r="F25" s="60">
        <f>'Memória de Cálculo'!F25</f>
        <v>12.35</v>
      </c>
      <c r="G25" s="61">
        <v>147.56</v>
      </c>
      <c r="H25" s="62">
        <f>ROUND(G25*(1+$I$16),2)</f>
        <v>179.3</v>
      </c>
      <c r="I25" s="63">
        <f>ROUND(F25*H25,2)</f>
        <v>2214.36</v>
      </c>
      <c r="L25" s="64"/>
    </row>
    <row r="26" spans="1:12" ht="72.75" customHeight="1" x14ac:dyDescent="0.25">
      <c r="A26" s="55" t="s">
        <v>154</v>
      </c>
      <c r="B26" s="56" t="s">
        <v>127</v>
      </c>
      <c r="C26" s="57" t="s">
        <v>18</v>
      </c>
      <c r="D26" s="58" t="s">
        <v>126</v>
      </c>
      <c r="E26" s="59" t="s">
        <v>20</v>
      </c>
      <c r="F26" s="60">
        <f>'Memória de Cálculo'!F26</f>
        <v>13.76</v>
      </c>
      <c r="G26" s="61">
        <v>14.14</v>
      </c>
      <c r="H26" s="62">
        <f t="shared" ref="H26:H34" si="0">ROUND(G26*(1+$I$16),2)</f>
        <v>17.18</v>
      </c>
      <c r="I26" s="63">
        <f t="shared" ref="I26:I34" si="1">ROUND(F26*H26,2)</f>
        <v>236.4</v>
      </c>
      <c r="L26" s="64"/>
    </row>
    <row r="27" spans="1:12" ht="76.5" x14ac:dyDescent="0.25">
      <c r="A27" s="55" t="s">
        <v>155</v>
      </c>
      <c r="B27" s="56" t="s">
        <v>128</v>
      </c>
      <c r="C27" s="57" t="s">
        <v>18</v>
      </c>
      <c r="D27" s="58" t="s">
        <v>129</v>
      </c>
      <c r="E27" s="59" t="s">
        <v>20</v>
      </c>
      <c r="F27" s="60">
        <f>'Memória de Cálculo'!F27</f>
        <v>11.79</v>
      </c>
      <c r="G27" s="61">
        <v>15.11</v>
      </c>
      <c r="H27" s="62">
        <f t="shared" si="0"/>
        <v>18.36</v>
      </c>
      <c r="I27" s="63">
        <f t="shared" si="1"/>
        <v>216.46</v>
      </c>
      <c r="L27" s="64"/>
    </row>
    <row r="28" spans="1:12" ht="63.75" x14ac:dyDescent="0.25">
      <c r="A28" s="55" t="s">
        <v>156</v>
      </c>
      <c r="B28" s="56" t="s">
        <v>130</v>
      </c>
      <c r="C28" s="57" t="s">
        <v>18</v>
      </c>
      <c r="D28" s="58" t="s">
        <v>131</v>
      </c>
      <c r="E28" s="59" t="s">
        <v>21</v>
      </c>
      <c r="F28" s="60">
        <f>'Memória de Cálculo'!F28</f>
        <v>289.64</v>
      </c>
      <c r="G28" s="61">
        <v>64.12</v>
      </c>
      <c r="H28" s="62">
        <f t="shared" si="0"/>
        <v>77.91</v>
      </c>
      <c r="I28" s="63">
        <f t="shared" si="1"/>
        <v>22565.85</v>
      </c>
      <c r="L28" s="64"/>
    </row>
    <row r="29" spans="1:12" ht="38.25" x14ac:dyDescent="0.25">
      <c r="A29" s="55" t="s">
        <v>157</v>
      </c>
      <c r="B29" s="56" t="s">
        <v>105</v>
      </c>
      <c r="C29" s="57" t="s">
        <v>18</v>
      </c>
      <c r="D29" s="58" t="s">
        <v>104</v>
      </c>
      <c r="E29" s="59" t="s">
        <v>21</v>
      </c>
      <c r="F29" s="60">
        <f>'Memória de Cálculo'!F29</f>
        <v>276.92</v>
      </c>
      <c r="G29" s="61">
        <v>36.950000000000003</v>
      </c>
      <c r="H29" s="62">
        <f t="shared" si="0"/>
        <v>44.9</v>
      </c>
      <c r="I29" s="63">
        <f t="shared" si="1"/>
        <v>12433.71</v>
      </c>
      <c r="L29" s="64"/>
    </row>
    <row r="30" spans="1:12" x14ac:dyDescent="0.25">
      <c r="A30" s="55" t="s">
        <v>158</v>
      </c>
      <c r="B30" s="56" t="s">
        <v>31</v>
      </c>
      <c r="C30" s="57" t="s">
        <v>89</v>
      </c>
      <c r="D30" s="58" t="s">
        <v>132</v>
      </c>
      <c r="E30" s="59" t="s">
        <v>15</v>
      </c>
      <c r="F30" s="60">
        <f>'Memória de Cálculo'!F30</f>
        <v>1</v>
      </c>
      <c r="G30" s="61">
        <f>'Composição de custo'!G4</f>
        <v>943.36</v>
      </c>
      <c r="H30" s="62">
        <f t="shared" si="0"/>
        <v>1146.28</v>
      </c>
      <c r="I30" s="63">
        <f t="shared" si="1"/>
        <v>1146.28</v>
      </c>
      <c r="L30" s="64"/>
    </row>
    <row r="31" spans="1:12" ht="21.75" customHeight="1" x14ac:dyDescent="0.25">
      <c r="A31" s="55" t="s">
        <v>159</v>
      </c>
      <c r="B31" s="56" t="s">
        <v>32</v>
      </c>
      <c r="C31" s="57" t="s">
        <v>89</v>
      </c>
      <c r="D31" s="58" t="s">
        <v>133</v>
      </c>
      <c r="E31" s="59" t="s">
        <v>15</v>
      </c>
      <c r="F31" s="60">
        <f>'Memória de Cálculo'!F31</f>
        <v>1</v>
      </c>
      <c r="G31" s="61">
        <f>'Composição de custo'!G22</f>
        <v>134.79</v>
      </c>
      <c r="H31" s="62">
        <f t="shared" si="0"/>
        <v>163.78</v>
      </c>
      <c r="I31" s="63">
        <f t="shared" si="1"/>
        <v>163.78</v>
      </c>
      <c r="L31" s="64"/>
    </row>
    <row r="32" spans="1:12" ht="39" customHeight="1" x14ac:dyDescent="0.25">
      <c r="A32" s="55" t="s">
        <v>160</v>
      </c>
      <c r="B32" s="56" t="s">
        <v>135</v>
      </c>
      <c r="C32" s="57" t="s">
        <v>18</v>
      </c>
      <c r="D32" s="58" t="s">
        <v>134</v>
      </c>
      <c r="E32" s="59" t="s">
        <v>15</v>
      </c>
      <c r="F32" s="60">
        <f>'Memória de Cálculo'!F32</f>
        <v>1</v>
      </c>
      <c r="G32" s="61">
        <v>1036.01</v>
      </c>
      <c r="H32" s="62">
        <f t="shared" si="0"/>
        <v>1258.8599999999999</v>
      </c>
      <c r="I32" s="63">
        <f t="shared" si="1"/>
        <v>1258.8599999999999</v>
      </c>
      <c r="L32" s="64"/>
    </row>
    <row r="33" spans="1:12" ht="54.75" customHeight="1" x14ac:dyDescent="0.25">
      <c r="A33" s="55" t="s">
        <v>161</v>
      </c>
      <c r="B33" s="56" t="s">
        <v>138</v>
      </c>
      <c r="C33" s="57" t="s">
        <v>18</v>
      </c>
      <c r="D33" s="58" t="s">
        <v>139</v>
      </c>
      <c r="E33" s="59" t="s">
        <v>20</v>
      </c>
      <c r="F33" s="60">
        <f>'Memória de Cálculo'!F33</f>
        <v>0.1</v>
      </c>
      <c r="G33" s="61">
        <v>558.66</v>
      </c>
      <c r="H33" s="62">
        <f t="shared" si="0"/>
        <v>678.83</v>
      </c>
      <c r="I33" s="63">
        <f t="shared" si="1"/>
        <v>67.88</v>
      </c>
      <c r="L33" s="64"/>
    </row>
    <row r="34" spans="1:12" ht="21.75" customHeight="1" x14ac:dyDescent="0.25">
      <c r="A34" s="55" t="s">
        <v>268</v>
      </c>
      <c r="B34" s="56" t="s">
        <v>141</v>
      </c>
      <c r="C34" s="57" t="s">
        <v>94</v>
      </c>
      <c r="D34" s="58" t="s">
        <v>140</v>
      </c>
      <c r="E34" s="59" t="s">
        <v>15</v>
      </c>
      <c r="F34" s="60">
        <f>'Memória de Cálculo'!F34</f>
        <v>1</v>
      </c>
      <c r="G34" s="61">
        <v>1301.49</v>
      </c>
      <c r="H34" s="62">
        <f t="shared" si="0"/>
        <v>1581.44</v>
      </c>
      <c r="I34" s="63">
        <f t="shared" si="1"/>
        <v>1581.44</v>
      </c>
      <c r="L34" s="64"/>
    </row>
    <row r="35" spans="1:12" x14ac:dyDescent="0.25">
      <c r="A35" s="48" t="s">
        <v>93</v>
      </c>
      <c r="B35" s="49"/>
      <c r="C35" s="49"/>
      <c r="D35" s="50" t="s">
        <v>137</v>
      </c>
      <c r="E35" s="51"/>
      <c r="F35" s="52"/>
      <c r="G35" s="52"/>
      <c r="H35" s="53"/>
      <c r="I35" s="54">
        <f>ROUND(I37+I38+I39+I40,2)</f>
        <v>62004</v>
      </c>
      <c r="L35" s="64"/>
    </row>
    <row r="36" spans="1:12" ht="42" customHeight="1" x14ac:dyDescent="0.25">
      <c r="A36" s="55" t="s">
        <v>162</v>
      </c>
      <c r="B36" s="56" t="s">
        <v>286</v>
      </c>
      <c r="C36" s="57" t="s">
        <v>18</v>
      </c>
      <c r="D36" s="58" t="s">
        <v>285</v>
      </c>
      <c r="E36" s="393" t="s">
        <v>287</v>
      </c>
      <c r="F36" s="394"/>
      <c r="G36" s="394"/>
      <c r="H36" s="394"/>
      <c r="I36" s="395"/>
      <c r="L36" s="64"/>
    </row>
    <row r="37" spans="1:12" ht="38.25" x14ac:dyDescent="0.25">
      <c r="A37" s="55" t="s">
        <v>163</v>
      </c>
      <c r="B37" s="56" t="s">
        <v>142</v>
      </c>
      <c r="C37" s="57" t="s">
        <v>18</v>
      </c>
      <c r="D37" s="58" t="s">
        <v>146</v>
      </c>
      <c r="E37" s="59" t="s">
        <v>147</v>
      </c>
      <c r="F37" s="60">
        <f>'Memória de Cálculo'!F36</f>
        <v>3724.03</v>
      </c>
      <c r="G37" s="61">
        <v>1.93</v>
      </c>
      <c r="H37" s="62">
        <f>ROUND(G37*(1+$I$16),2)</f>
        <v>2.35</v>
      </c>
      <c r="I37" s="63">
        <f>ROUND(F37*H37,2)</f>
        <v>8751.4699999999993</v>
      </c>
      <c r="L37" s="64"/>
    </row>
    <row r="38" spans="1:12" ht="39" customHeight="1" x14ac:dyDescent="0.25">
      <c r="A38" s="55" t="s">
        <v>164</v>
      </c>
      <c r="B38" s="56" t="s">
        <v>143</v>
      </c>
      <c r="C38" s="57" t="s">
        <v>18</v>
      </c>
      <c r="D38" s="58" t="s">
        <v>148</v>
      </c>
      <c r="E38" s="59" t="s">
        <v>147</v>
      </c>
      <c r="F38" s="60">
        <f>'Memória de Cálculo'!F37</f>
        <v>1675.81</v>
      </c>
      <c r="G38" s="61">
        <v>0.79</v>
      </c>
      <c r="H38" s="62">
        <f t="shared" ref="H38:H40" si="2">ROUND(G38*(1+$I$16),2)</f>
        <v>0.96</v>
      </c>
      <c r="I38" s="63">
        <f t="shared" ref="I38:I40" si="3">ROUND(F38*H38,2)</f>
        <v>1608.78</v>
      </c>
      <c r="L38" s="64"/>
    </row>
    <row r="39" spans="1:12" ht="38.25" customHeight="1" x14ac:dyDescent="0.25">
      <c r="A39" s="55" t="s">
        <v>165</v>
      </c>
      <c r="B39" s="56" t="s">
        <v>293</v>
      </c>
      <c r="C39" s="57" t="s">
        <v>303</v>
      </c>
      <c r="D39" s="397" t="str">
        <f>'Composição de custo'!C27</f>
        <v>EXECUÇÃO DE PAVIMENTO EM PEDRAS POLIÉDRICAS, REJUNTAMENTO COM PÓ DE PEDRA. AF_05/2020- adaptado</v>
      </c>
      <c r="E39" s="59" t="s">
        <v>14</v>
      </c>
      <c r="F39" s="60">
        <f>'Memória de Cálculo'!F38</f>
        <v>775.84</v>
      </c>
      <c r="G39" s="61">
        <f>'Composição de custo'!G27</f>
        <v>53.18</v>
      </c>
      <c r="H39" s="62">
        <f t="shared" si="2"/>
        <v>64.62</v>
      </c>
      <c r="I39" s="63">
        <f t="shared" si="3"/>
        <v>50134.78</v>
      </c>
      <c r="L39" s="64"/>
    </row>
    <row r="40" spans="1:12" ht="63.75" x14ac:dyDescent="0.25">
      <c r="A40" s="55" t="s">
        <v>288</v>
      </c>
      <c r="B40" s="56" t="s">
        <v>145</v>
      </c>
      <c r="C40" s="57" t="s">
        <v>18</v>
      </c>
      <c r="D40" s="58" t="s">
        <v>150</v>
      </c>
      <c r="E40" s="59" t="s">
        <v>21</v>
      </c>
      <c r="F40" s="60">
        <f>'Memória de Cálculo'!F39</f>
        <v>24.35</v>
      </c>
      <c r="G40" s="61">
        <v>51</v>
      </c>
      <c r="H40" s="62">
        <f t="shared" si="2"/>
        <v>61.97</v>
      </c>
      <c r="I40" s="63">
        <f t="shared" si="3"/>
        <v>1508.97</v>
      </c>
      <c r="L40" s="64"/>
    </row>
    <row r="41" spans="1:12" x14ac:dyDescent="0.25">
      <c r="A41" s="223" t="s">
        <v>282</v>
      </c>
      <c r="B41" s="224"/>
      <c r="C41" s="224"/>
      <c r="D41" s="225" t="s">
        <v>151</v>
      </c>
      <c r="E41" s="226"/>
      <c r="F41" s="227"/>
      <c r="G41" s="227"/>
      <c r="H41" s="228"/>
      <c r="I41" s="229">
        <f>I42+I51</f>
        <v>199147.05</v>
      </c>
      <c r="L41" s="64"/>
    </row>
    <row r="42" spans="1:12" ht="19.5" customHeight="1" x14ac:dyDescent="0.25">
      <c r="A42" s="48" t="s">
        <v>17</v>
      </c>
      <c r="B42" s="49"/>
      <c r="C42" s="49"/>
      <c r="D42" s="50" t="s">
        <v>123</v>
      </c>
      <c r="E42" s="51"/>
      <c r="F42" s="52"/>
      <c r="G42" s="52"/>
      <c r="H42" s="53"/>
      <c r="I42" s="54">
        <f>ROUND(SUM(I43:I50),2)</f>
        <v>82912.31</v>
      </c>
      <c r="L42" s="64"/>
    </row>
    <row r="43" spans="1:12" ht="68.25" customHeight="1" x14ac:dyDescent="0.25">
      <c r="A43" s="55" t="s">
        <v>166</v>
      </c>
      <c r="B43" s="56" t="s">
        <v>125</v>
      </c>
      <c r="C43" s="57" t="s">
        <v>18</v>
      </c>
      <c r="D43" s="58" t="s">
        <v>124</v>
      </c>
      <c r="E43" s="59" t="s">
        <v>21</v>
      </c>
      <c r="F43" s="60">
        <f>'Memória de Cálculo'!F42</f>
        <v>14</v>
      </c>
      <c r="G43" s="61">
        <v>147.56</v>
      </c>
      <c r="H43" s="62">
        <f>ROUND(G43*(1+$I$16),2)</f>
        <v>179.3</v>
      </c>
      <c r="I43" s="63">
        <f>ROUND(F43*H43,2)</f>
        <v>2510.1999999999998</v>
      </c>
      <c r="L43" s="64"/>
    </row>
    <row r="44" spans="1:12" ht="76.5" customHeight="1" x14ac:dyDescent="0.25">
      <c r="A44" s="55" t="s">
        <v>167</v>
      </c>
      <c r="B44" s="56" t="s">
        <v>127</v>
      </c>
      <c r="C44" s="57" t="s">
        <v>18</v>
      </c>
      <c r="D44" s="58" t="s">
        <v>126</v>
      </c>
      <c r="E44" s="59" t="s">
        <v>20</v>
      </c>
      <c r="F44" s="60">
        <f>'Memória de Cálculo'!F43</f>
        <v>11.2</v>
      </c>
      <c r="G44" s="61">
        <v>14.14</v>
      </c>
      <c r="H44" s="62">
        <f t="shared" ref="H44:H50" si="4">ROUND(G44*(1+$I$16),2)</f>
        <v>17.18</v>
      </c>
      <c r="I44" s="63">
        <f t="shared" ref="I44:I50" si="5">ROUND(F44*H44,2)</f>
        <v>192.42</v>
      </c>
      <c r="L44" s="64"/>
    </row>
    <row r="45" spans="1:12" ht="50.25" customHeight="1" x14ac:dyDescent="0.25">
      <c r="A45" s="55" t="s">
        <v>168</v>
      </c>
      <c r="B45" s="56" t="s">
        <v>128</v>
      </c>
      <c r="C45" s="57" t="s">
        <v>18</v>
      </c>
      <c r="D45" s="58" t="s">
        <v>129</v>
      </c>
      <c r="E45" s="59" t="s">
        <v>20</v>
      </c>
      <c r="F45" s="60">
        <f>'Memória de Cálculo'!F44</f>
        <v>9.44</v>
      </c>
      <c r="G45" s="61">
        <v>15.11</v>
      </c>
      <c r="H45" s="62">
        <f t="shared" si="4"/>
        <v>18.36</v>
      </c>
      <c r="I45" s="63">
        <f t="shared" si="5"/>
        <v>173.32</v>
      </c>
      <c r="L45" s="64"/>
    </row>
    <row r="46" spans="1:12" ht="63.75" x14ac:dyDescent="0.25">
      <c r="A46" s="55" t="s">
        <v>169</v>
      </c>
      <c r="B46" s="56" t="s">
        <v>130</v>
      </c>
      <c r="C46" s="57" t="s">
        <v>18</v>
      </c>
      <c r="D46" s="58" t="s">
        <v>131</v>
      </c>
      <c r="E46" s="59" t="s">
        <v>21</v>
      </c>
      <c r="F46" s="60">
        <f>'Memória de Cálculo'!F45</f>
        <v>585.12</v>
      </c>
      <c r="G46" s="61">
        <v>64.12</v>
      </c>
      <c r="H46" s="62">
        <f t="shared" si="4"/>
        <v>77.91</v>
      </c>
      <c r="I46" s="63">
        <f t="shared" si="5"/>
        <v>45586.7</v>
      </c>
      <c r="L46" s="64"/>
    </row>
    <row r="47" spans="1:12" ht="26.25" customHeight="1" x14ac:dyDescent="0.25">
      <c r="A47" s="55" t="s">
        <v>170</v>
      </c>
      <c r="B47" s="56" t="s">
        <v>105</v>
      </c>
      <c r="C47" s="57" t="s">
        <v>18</v>
      </c>
      <c r="D47" s="58" t="s">
        <v>104</v>
      </c>
      <c r="E47" s="59" t="s">
        <v>21</v>
      </c>
      <c r="F47" s="60">
        <f>'Memória de Cálculo'!F46</f>
        <v>581.79</v>
      </c>
      <c r="G47" s="61">
        <v>36.950000000000003</v>
      </c>
      <c r="H47" s="62">
        <f t="shared" si="4"/>
        <v>44.9</v>
      </c>
      <c r="I47" s="63">
        <f t="shared" si="5"/>
        <v>26122.37</v>
      </c>
      <c r="L47" s="64"/>
    </row>
    <row r="48" spans="1:12" ht="51" x14ac:dyDescent="0.25">
      <c r="A48" s="55" t="s">
        <v>171</v>
      </c>
      <c r="B48" s="56" t="s">
        <v>135</v>
      </c>
      <c r="C48" s="57" t="s">
        <v>18</v>
      </c>
      <c r="D48" s="58" t="s">
        <v>134</v>
      </c>
      <c r="E48" s="59" t="s">
        <v>15</v>
      </c>
      <c r="F48" s="60">
        <f>'Memória de Cálculo'!F47</f>
        <v>4</v>
      </c>
      <c r="G48" s="61">
        <v>1036.01</v>
      </c>
      <c r="H48" s="62">
        <f t="shared" si="4"/>
        <v>1258.8599999999999</v>
      </c>
      <c r="I48" s="63">
        <f t="shared" si="5"/>
        <v>5035.4399999999996</v>
      </c>
      <c r="L48" s="64"/>
    </row>
    <row r="49" spans="1:12" ht="51" x14ac:dyDescent="0.25">
      <c r="A49" s="55" t="s">
        <v>172</v>
      </c>
      <c r="B49" s="56" t="s">
        <v>138</v>
      </c>
      <c r="C49" s="57" t="s">
        <v>18</v>
      </c>
      <c r="D49" s="58" t="s">
        <v>139</v>
      </c>
      <c r="E49" s="59" t="s">
        <v>20</v>
      </c>
      <c r="F49" s="60">
        <f>'Memória de Cálculo'!F48</f>
        <v>0.19</v>
      </c>
      <c r="G49" s="61">
        <v>558.66</v>
      </c>
      <c r="H49" s="62">
        <f t="shared" si="4"/>
        <v>678.83</v>
      </c>
      <c r="I49" s="63">
        <f t="shared" si="5"/>
        <v>128.97999999999999</v>
      </c>
      <c r="L49" s="64"/>
    </row>
    <row r="50" spans="1:12" ht="25.5" x14ac:dyDescent="0.25">
      <c r="A50" s="55" t="s">
        <v>173</v>
      </c>
      <c r="B50" s="56" t="s">
        <v>141</v>
      </c>
      <c r="C50" s="57" t="s">
        <v>94</v>
      </c>
      <c r="D50" s="58" t="s">
        <v>140</v>
      </c>
      <c r="E50" s="59" t="s">
        <v>15</v>
      </c>
      <c r="F50" s="60">
        <f>'Memória de Cálculo'!F49</f>
        <v>2</v>
      </c>
      <c r="G50" s="61">
        <v>1301.49</v>
      </c>
      <c r="H50" s="62">
        <f t="shared" si="4"/>
        <v>1581.44</v>
      </c>
      <c r="I50" s="63">
        <f t="shared" si="5"/>
        <v>3162.88</v>
      </c>
      <c r="L50" s="64"/>
    </row>
    <row r="51" spans="1:12" x14ac:dyDescent="0.25">
      <c r="A51" s="48" t="s">
        <v>19</v>
      </c>
      <c r="B51" s="49"/>
      <c r="C51" s="49"/>
      <c r="D51" s="50" t="s">
        <v>137</v>
      </c>
      <c r="E51" s="51"/>
      <c r="F51" s="52"/>
      <c r="G51" s="52"/>
      <c r="H51" s="53"/>
      <c r="I51" s="54">
        <f>ROUND(I53+I54+I55+I56,2)</f>
        <v>116234.74</v>
      </c>
      <c r="L51" s="64"/>
    </row>
    <row r="52" spans="1:12" ht="44.25" customHeight="1" x14ac:dyDescent="0.25">
      <c r="A52" s="55" t="s">
        <v>174</v>
      </c>
      <c r="B52" s="56" t="s">
        <v>286</v>
      </c>
      <c r="C52" s="57" t="s">
        <v>18</v>
      </c>
      <c r="D52" s="58" t="s">
        <v>285</v>
      </c>
      <c r="E52" s="393" t="s">
        <v>287</v>
      </c>
      <c r="F52" s="394"/>
      <c r="G52" s="394"/>
      <c r="H52" s="394"/>
      <c r="I52" s="395"/>
      <c r="L52" s="64"/>
    </row>
    <row r="53" spans="1:12" ht="38.25" x14ac:dyDescent="0.25">
      <c r="A53" s="55" t="s">
        <v>175</v>
      </c>
      <c r="B53" s="56" t="s">
        <v>142</v>
      </c>
      <c r="C53" s="57" t="s">
        <v>18</v>
      </c>
      <c r="D53" s="58" t="s">
        <v>146</v>
      </c>
      <c r="E53" s="59" t="s">
        <v>147</v>
      </c>
      <c r="F53" s="60">
        <f>'Memória de Cálculo'!F51</f>
        <v>7071.94</v>
      </c>
      <c r="G53" s="61">
        <v>1.93</v>
      </c>
      <c r="H53" s="62">
        <f>ROUND(G53*(1+$I$16),2)</f>
        <v>2.35</v>
      </c>
      <c r="I53" s="63">
        <f>ROUND(F53*H53,2)</f>
        <v>16619.060000000001</v>
      </c>
      <c r="L53" s="64"/>
    </row>
    <row r="54" spans="1:12" ht="46.5" customHeight="1" x14ac:dyDescent="0.25">
      <c r="A54" s="55" t="s">
        <v>176</v>
      </c>
      <c r="B54" s="56" t="s">
        <v>143</v>
      </c>
      <c r="C54" s="57" t="s">
        <v>18</v>
      </c>
      <c r="D54" s="58" t="s">
        <v>148</v>
      </c>
      <c r="E54" s="59" t="s">
        <v>147</v>
      </c>
      <c r="F54" s="60">
        <f>'Memória de Cálculo'!F52</f>
        <v>3818.85</v>
      </c>
      <c r="G54" s="61">
        <v>0.79</v>
      </c>
      <c r="H54" s="62">
        <f t="shared" ref="H54:H56" si="6">ROUND(G54*(1+$I$16),2)</f>
        <v>0.96</v>
      </c>
      <c r="I54" s="63">
        <f t="shared" ref="I54:I56" si="7">ROUND(F54*H54,2)</f>
        <v>3666.1</v>
      </c>
      <c r="L54" s="64"/>
    </row>
    <row r="55" spans="1:12" ht="41.25" customHeight="1" x14ac:dyDescent="0.25">
      <c r="A55" s="55" t="s">
        <v>177</v>
      </c>
      <c r="B55" s="56" t="s">
        <v>293</v>
      </c>
      <c r="C55" s="57" t="s">
        <v>303</v>
      </c>
      <c r="D55" s="397" t="s">
        <v>292</v>
      </c>
      <c r="E55" s="59" t="s">
        <v>14</v>
      </c>
      <c r="F55" s="60">
        <f>'Memória de Cálculo'!F53</f>
        <v>1473.32</v>
      </c>
      <c r="G55" s="61">
        <f>'Composição de custo'!G27</f>
        <v>53.18</v>
      </c>
      <c r="H55" s="62">
        <f t="shared" si="6"/>
        <v>64.62</v>
      </c>
      <c r="I55" s="63">
        <f t="shared" si="7"/>
        <v>95205.94</v>
      </c>
      <c r="L55" s="64"/>
    </row>
    <row r="56" spans="1:12" ht="63.75" x14ac:dyDescent="0.25">
      <c r="A56" s="55" t="s">
        <v>289</v>
      </c>
      <c r="B56" s="56" t="s">
        <v>145</v>
      </c>
      <c r="C56" s="57" t="s">
        <v>18</v>
      </c>
      <c r="D56" s="58" t="s">
        <v>150</v>
      </c>
      <c r="E56" s="59" t="s">
        <v>21</v>
      </c>
      <c r="F56" s="60">
        <f>'Memória de Cálculo'!F54</f>
        <v>12</v>
      </c>
      <c r="G56" s="61">
        <v>51</v>
      </c>
      <c r="H56" s="62">
        <f t="shared" si="6"/>
        <v>61.97</v>
      </c>
      <c r="I56" s="63">
        <f t="shared" si="7"/>
        <v>743.64</v>
      </c>
      <c r="L56" s="64"/>
    </row>
    <row r="57" spans="1:12" x14ac:dyDescent="0.25">
      <c r="A57" s="223" t="s">
        <v>283</v>
      </c>
      <c r="B57" s="224"/>
      <c r="C57" s="224"/>
      <c r="D57" s="225" t="s">
        <v>178</v>
      </c>
      <c r="E57" s="226"/>
      <c r="F57" s="227"/>
      <c r="G57" s="227"/>
      <c r="H57" s="228"/>
      <c r="I57" s="229">
        <f>I58+I62</f>
        <v>79809.88</v>
      </c>
      <c r="L57" s="64"/>
    </row>
    <row r="58" spans="1:12" x14ac:dyDescent="0.25">
      <c r="A58" s="48" t="s">
        <v>107</v>
      </c>
      <c r="B58" s="49"/>
      <c r="C58" s="49"/>
      <c r="D58" s="50" t="s">
        <v>123</v>
      </c>
      <c r="E58" s="51"/>
      <c r="F58" s="52"/>
      <c r="G58" s="52"/>
      <c r="H58" s="53"/>
      <c r="I58" s="54">
        <f>ROUND(SUM(I59:I61),2)</f>
        <v>30384.49</v>
      </c>
      <c r="L58" s="64"/>
    </row>
    <row r="59" spans="1:12" ht="63.75" x14ac:dyDescent="0.25">
      <c r="A59" s="55" t="s">
        <v>108</v>
      </c>
      <c r="B59" s="56" t="s">
        <v>130</v>
      </c>
      <c r="C59" s="57" t="s">
        <v>18</v>
      </c>
      <c r="D59" s="58" t="s">
        <v>131</v>
      </c>
      <c r="E59" s="59" t="s">
        <v>21</v>
      </c>
      <c r="F59" s="60">
        <f>'Memória de Cálculo'!F57</f>
        <v>249.68</v>
      </c>
      <c r="G59" s="61">
        <v>64.12</v>
      </c>
      <c r="H59" s="62">
        <f t="shared" ref="H59:H61" si="8">ROUND(G59*(1+$I$16),2)</f>
        <v>77.91</v>
      </c>
      <c r="I59" s="63">
        <f t="shared" ref="I59:I61" si="9">ROUND(F59*H59,2)</f>
        <v>19452.57</v>
      </c>
      <c r="L59" s="64"/>
    </row>
    <row r="60" spans="1:12" ht="38.25" x14ac:dyDescent="0.25">
      <c r="A60" s="55" t="s">
        <v>109</v>
      </c>
      <c r="B60" s="56" t="s">
        <v>105</v>
      </c>
      <c r="C60" s="57" t="s">
        <v>18</v>
      </c>
      <c r="D60" s="58" t="s">
        <v>104</v>
      </c>
      <c r="E60" s="59" t="s">
        <v>21</v>
      </c>
      <c r="F60" s="60">
        <f>'Memória de Cálculo'!F58</f>
        <v>240.6</v>
      </c>
      <c r="G60" s="61">
        <v>36.950000000000003</v>
      </c>
      <c r="H60" s="62">
        <f t="shared" si="8"/>
        <v>44.9</v>
      </c>
      <c r="I60" s="63">
        <f t="shared" si="9"/>
        <v>10802.94</v>
      </c>
      <c r="L60" s="64"/>
    </row>
    <row r="61" spans="1:12" ht="51" x14ac:dyDescent="0.25">
      <c r="A61" s="55" t="s">
        <v>110</v>
      </c>
      <c r="B61" s="56" t="s">
        <v>138</v>
      </c>
      <c r="C61" s="57" t="s">
        <v>18</v>
      </c>
      <c r="D61" s="58" t="s">
        <v>139</v>
      </c>
      <c r="E61" s="59" t="s">
        <v>20</v>
      </c>
      <c r="F61" s="60">
        <f>'Memória de Cálculo'!F59</f>
        <v>0.19</v>
      </c>
      <c r="G61" s="61">
        <v>558.66</v>
      </c>
      <c r="H61" s="62">
        <f t="shared" si="8"/>
        <v>678.83</v>
      </c>
      <c r="I61" s="63">
        <f t="shared" si="9"/>
        <v>128.97999999999999</v>
      </c>
      <c r="L61" s="64"/>
    </row>
    <row r="62" spans="1:12" x14ac:dyDescent="0.25">
      <c r="A62" s="48" t="s">
        <v>111</v>
      </c>
      <c r="B62" s="49"/>
      <c r="C62" s="49"/>
      <c r="D62" s="50" t="s">
        <v>137</v>
      </c>
      <c r="E62" s="51"/>
      <c r="F62" s="52"/>
      <c r="G62" s="52"/>
      <c r="H62" s="53"/>
      <c r="I62" s="54">
        <f>ROUND(I64+I65+I66+I67,2)</f>
        <v>49425.39</v>
      </c>
      <c r="L62" s="64"/>
    </row>
    <row r="63" spans="1:12" ht="44.25" customHeight="1" x14ac:dyDescent="0.25">
      <c r="A63" s="55" t="s">
        <v>112</v>
      </c>
      <c r="B63" s="56" t="s">
        <v>286</v>
      </c>
      <c r="C63" s="57" t="s">
        <v>18</v>
      </c>
      <c r="D63" s="58" t="s">
        <v>285</v>
      </c>
      <c r="E63" s="393" t="s">
        <v>287</v>
      </c>
      <c r="F63" s="394"/>
      <c r="G63" s="394"/>
      <c r="H63" s="394"/>
      <c r="I63" s="395"/>
      <c r="L63" s="64"/>
    </row>
    <row r="64" spans="1:12" ht="38.25" x14ac:dyDescent="0.25">
      <c r="A64" s="55" t="s">
        <v>113</v>
      </c>
      <c r="B64" s="56" t="s">
        <v>142</v>
      </c>
      <c r="C64" s="57" t="s">
        <v>18</v>
      </c>
      <c r="D64" s="58" t="s">
        <v>146</v>
      </c>
      <c r="E64" s="59" t="s">
        <v>147</v>
      </c>
      <c r="F64" s="60">
        <f>'Memória de Cálculo'!F61</f>
        <v>2982.14</v>
      </c>
      <c r="G64" s="61">
        <v>1.93</v>
      </c>
      <c r="H64" s="62">
        <f>ROUND(G64*(1+$I$16),2)</f>
        <v>2.35</v>
      </c>
      <c r="I64" s="63">
        <f>ROUND(F64*H64,2)</f>
        <v>7008.03</v>
      </c>
      <c r="L64" s="64"/>
    </row>
    <row r="65" spans="1:12" ht="53.25" customHeight="1" x14ac:dyDescent="0.25">
      <c r="A65" s="55" t="s">
        <v>179</v>
      </c>
      <c r="B65" s="56" t="s">
        <v>143</v>
      </c>
      <c r="C65" s="57" t="s">
        <v>18</v>
      </c>
      <c r="D65" s="58" t="s">
        <v>148</v>
      </c>
      <c r="E65" s="59" t="s">
        <v>147</v>
      </c>
      <c r="F65" s="60">
        <f>'Memória de Cálculo'!F62</f>
        <v>1630.24</v>
      </c>
      <c r="G65" s="61">
        <v>0.79</v>
      </c>
      <c r="H65" s="62">
        <f t="shared" ref="H65:H67" si="10">ROUND(G65*(1+$I$16),2)</f>
        <v>0.96</v>
      </c>
      <c r="I65" s="63">
        <f t="shared" ref="I65:I67" si="11">ROUND(F65*H65,2)</f>
        <v>1565.03</v>
      </c>
      <c r="L65" s="64"/>
    </row>
    <row r="66" spans="1:12" ht="38.25" x14ac:dyDescent="0.25">
      <c r="A66" s="55" t="s">
        <v>180</v>
      </c>
      <c r="B66" s="56" t="s">
        <v>293</v>
      </c>
      <c r="C66" s="57" t="s">
        <v>303</v>
      </c>
      <c r="D66" s="397" t="s">
        <v>292</v>
      </c>
      <c r="E66" s="59" t="s">
        <v>14</v>
      </c>
      <c r="F66" s="60">
        <f>'Memória de Cálculo'!F63</f>
        <v>621.28</v>
      </c>
      <c r="G66" s="61">
        <f>'Composição de custo'!G27</f>
        <v>53.18</v>
      </c>
      <c r="H66" s="62">
        <f t="shared" si="10"/>
        <v>64.62</v>
      </c>
      <c r="I66" s="63">
        <f t="shared" si="11"/>
        <v>40147.11</v>
      </c>
      <c r="L66" s="64"/>
    </row>
    <row r="67" spans="1:12" ht="63.75" x14ac:dyDescent="0.25">
      <c r="A67" s="55" t="s">
        <v>290</v>
      </c>
      <c r="B67" s="56" t="s">
        <v>145</v>
      </c>
      <c r="C67" s="57" t="s">
        <v>18</v>
      </c>
      <c r="D67" s="58" t="s">
        <v>150</v>
      </c>
      <c r="E67" s="59" t="s">
        <v>21</v>
      </c>
      <c r="F67" s="60">
        <f>'Memória de Cálculo'!F64</f>
        <v>11.38</v>
      </c>
      <c r="G67" s="61">
        <v>51</v>
      </c>
      <c r="H67" s="62">
        <f t="shared" si="10"/>
        <v>61.97</v>
      </c>
      <c r="I67" s="63">
        <f t="shared" si="11"/>
        <v>705.22</v>
      </c>
      <c r="L67" s="64"/>
    </row>
    <row r="68" spans="1:12" x14ac:dyDescent="0.25">
      <c r="A68" s="223" t="s">
        <v>284</v>
      </c>
      <c r="B68" s="224"/>
      <c r="C68" s="224"/>
      <c r="D68" s="225" t="s">
        <v>181</v>
      </c>
      <c r="E68" s="226"/>
      <c r="F68" s="227"/>
      <c r="G68" s="227"/>
      <c r="H68" s="228"/>
      <c r="I68" s="229">
        <f>I69+I81</f>
        <v>161697.21</v>
      </c>
      <c r="L68" s="64"/>
    </row>
    <row r="69" spans="1:12" x14ac:dyDescent="0.25">
      <c r="A69" s="48" t="s">
        <v>114</v>
      </c>
      <c r="B69" s="49"/>
      <c r="C69" s="49"/>
      <c r="D69" s="50" t="s">
        <v>123</v>
      </c>
      <c r="E69" s="51"/>
      <c r="F69" s="52"/>
      <c r="G69" s="52"/>
      <c r="H69" s="53"/>
      <c r="I69" s="54">
        <f>ROUND(SUM(I70:I80),2)</f>
        <v>68760.95</v>
      </c>
      <c r="L69" s="64"/>
    </row>
    <row r="70" spans="1:12" ht="63.75" x14ac:dyDescent="0.25">
      <c r="A70" s="55" t="s">
        <v>182</v>
      </c>
      <c r="B70" s="56" t="s">
        <v>125</v>
      </c>
      <c r="C70" s="57" t="s">
        <v>18</v>
      </c>
      <c r="D70" s="58" t="s">
        <v>124</v>
      </c>
      <c r="E70" s="59" t="s">
        <v>21</v>
      </c>
      <c r="F70" s="60">
        <f>'Memória de Cálculo'!F67</f>
        <v>6</v>
      </c>
      <c r="G70" s="61">
        <v>147.56</v>
      </c>
      <c r="H70" s="62">
        <f>ROUND(G70*(1+$I$16),2)</f>
        <v>179.3</v>
      </c>
      <c r="I70" s="63">
        <f>ROUND(F70*H70,2)</f>
        <v>1075.8</v>
      </c>
      <c r="L70" s="64"/>
    </row>
    <row r="71" spans="1:12" ht="89.25" x14ac:dyDescent="0.25">
      <c r="A71" s="55" t="s">
        <v>183</v>
      </c>
      <c r="B71" s="56" t="s">
        <v>127</v>
      </c>
      <c r="C71" s="57" t="s">
        <v>18</v>
      </c>
      <c r="D71" s="58" t="s">
        <v>126</v>
      </c>
      <c r="E71" s="59" t="s">
        <v>20</v>
      </c>
      <c r="F71" s="60">
        <f>'Memória de Cálculo'!F68</f>
        <v>4.8</v>
      </c>
      <c r="G71" s="61">
        <v>14.14</v>
      </c>
      <c r="H71" s="62">
        <f t="shared" ref="H71:H80" si="12">ROUND(G71*(1+$I$16),2)</f>
        <v>17.18</v>
      </c>
      <c r="I71" s="63">
        <f t="shared" ref="I71:I80" si="13">ROUND(F71*H71,2)</f>
        <v>82.46</v>
      </c>
      <c r="L71" s="64"/>
    </row>
    <row r="72" spans="1:12" ht="76.5" x14ac:dyDescent="0.25">
      <c r="A72" s="55" t="s">
        <v>184</v>
      </c>
      <c r="B72" s="56" t="s">
        <v>128</v>
      </c>
      <c r="C72" s="57" t="s">
        <v>18</v>
      </c>
      <c r="D72" s="58" t="s">
        <v>129</v>
      </c>
      <c r="E72" s="59" t="s">
        <v>20</v>
      </c>
      <c r="F72" s="60">
        <f>'Memória de Cálculo'!F69</f>
        <v>4.05</v>
      </c>
      <c r="G72" s="61">
        <v>15.11</v>
      </c>
      <c r="H72" s="62">
        <f t="shared" si="12"/>
        <v>18.36</v>
      </c>
      <c r="I72" s="63">
        <f t="shared" si="13"/>
        <v>74.36</v>
      </c>
      <c r="L72" s="64"/>
    </row>
    <row r="73" spans="1:12" ht="63.75" x14ac:dyDescent="0.25">
      <c r="A73" s="55" t="s">
        <v>185</v>
      </c>
      <c r="B73" s="56" t="s">
        <v>130</v>
      </c>
      <c r="C73" s="57" t="s">
        <v>18</v>
      </c>
      <c r="D73" s="58" t="s">
        <v>131</v>
      </c>
      <c r="E73" s="59" t="s">
        <v>21</v>
      </c>
      <c r="F73" s="60">
        <f>'Memória de Cálculo'!F70</f>
        <v>462.44</v>
      </c>
      <c r="G73" s="61">
        <v>64.12</v>
      </c>
      <c r="H73" s="62">
        <f t="shared" si="12"/>
        <v>77.91</v>
      </c>
      <c r="I73" s="63">
        <f t="shared" si="13"/>
        <v>36028.699999999997</v>
      </c>
      <c r="L73" s="64"/>
    </row>
    <row r="74" spans="1:12" ht="38.25" x14ac:dyDescent="0.25">
      <c r="A74" s="55" t="s">
        <v>186</v>
      </c>
      <c r="B74" s="56" t="s">
        <v>105</v>
      </c>
      <c r="C74" s="57" t="s">
        <v>18</v>
      </c>
      <c r="D74" s="58" t="s">
        <v>104</v>
      </c>
      <c r="E74" s="59" t="s">
        <v>21</v>
      </c>
      <c r="F74" s="60">
        <f>'Memória de Cálculo'!F71</f>
        <v>453.87</v>
      </c>
      <c r="G74" s="61">
        <v>36.950000000000003</v>
      </c>
      <c r="H74" s="62">
        <f t="shared" si="12"/>
        <v>44.9</v>
      </c>
      <c r="I74" s="63">
        <f t="shared" si="13"/>
        <v>20378.759999999998</v>
      </c>
      <c r="L74" s="64"/>
    </row>
    <row r="75" spans="1:12" ht="51" customHeight="1" x14ac:dyDescent="0.25">
      <c r="A75" s="55" t="s">
        <v>187</v>
      </c>
      <c r="B75" s="56" t="s">
        <v>226</v>
      </c>
      <c r="C75" s="57" t="s">
        <v>18</v>
      </c>
      <c r="D75" s="58" t="s">
        <v>224</v>
      </c>
      <c r="E75" s="59" t="s">
        <v>21</v>
      </c>
      <c r="F75" s="60">
        <f>'Memória de Cálculo'!F72</f>
        <v>88.37</v>
      </c>
      <c r="G75" s="61">
        <v>63.44</v>
      </c>
      <c r="H75" s="62">
        <f t="shared" si="12"/>
        <v>77.09</v>
      </c>
      <c r="I75" s="63">
        <f t="shared" si="13"/>
        <v>6812.44</v>
      </c>
      <c r="L75" s="64"/>
    </row>
    <row r="76" spans="1:12" ht="20.25" customHeight="1" x14ac:dyDescent="0.25">
      <c r="A76" s="55" t="s">
        <v>188</v>
      </c>
      <c r="B76" s="56" t="s">
        <v>31</v>
      </c>
      <c r="C76" s="57" t="s">
        <v>89</v>
      </c>
      <c r="D76" s="58" t="s">
        <v>132</v>
      </c>
      <c r="E76" s="59" t="s">
        <v>15</v>
      </c>
      <c r="F76" s="60">
        <f>'Memória de Cálculo'!F73</f>
        <v>2</v>
      </c>
      <c r="G76" s="61">
        <f>'Composição de custo'!G4</f>
        <v>943.36</v>
      </c>
      <c r="H76" s="62">
        <f t="shared" si="12"/>
        <v>1146.28</v>
      </c>
      <c r="I76" s="63">
        <f t="shared" si="13"/>
        <v>2292.56</v>
      </c>
      <c r="L76" s="64"/>
    </row>
    <row r="77" spans="1:12" ht="25.5" x14ac:dyDescent="0.25">
      <c r="A77" s="55" t="s">
        <v>189</v>
      </c>
      <c r="B77" s="56" t="s">
        <v>32</v>
      </c>
      <c r="C77" s="57" t="s">
        <v>89</v>
      </c>
      <c r="D77" s="58" t="s">
        <v>133</v>
      </c>
      <c r="E77" s="59" t="s">
        <v>15</v>
      </c>
      <c r="F77" s="60">
        <f>'Memória de Cálculo'!F74</f>
        <v>2</v>
      </c>
      <c r="G77" s="61">
        <f>'Composição de custo'!G22</f>
        <v>134.79</v>
      </c>
      <c r="H77" s="62">
        <f t="shared" si="12"/>
        <v>163.78</v>
      </c>
      <c r="I77" s="63">
        <f t="shared" si="13"/>
        <v>327.56</v>
      </c>
      <c r="L77" s="64"/>
    </row>
    <row r="78" spans="1:12" ht="40.5" customHeight="1" x14ac:dyDescent="0.25">
      <c r="A78" s="55" t="s">
        <v>190</v>
      </c>
      <c r="B78" s="56" t="s">
        <v>135</v>
      </c>
      <c r="C78" s="57" t="s">
        <v>18</v>
      </c>
      <c r="D78" s="58" t="s">
        <v>134</v>
      </c>
      <c r="E78" s="59" t="s">
        <v>15</v>
      </c>
      <c r="F78" s="60">
        <f>'Memória de Cálculo'!F75</f>
        <v>1</v>
      </c>
      <c r="G78" s="61">
        <v>1036.01</v>
      </c>
      <c r="H78" s="62">
        <f t="shared" si="12"/>
        <v>1258.8599999999999</v>
      </c>
      <c r="I78" s="63">
        <f t="shared" si="13"/>
        <v>1258.8599999999999</v>
      </c>
      <c r="L78" s="64"/>
    </row>
    <row r="79" spans="1:12" ht="51" x14ac:dyDescent="0.25">
      <c r="A79" s="55" t="s">
        <v>191</v>
      </c>
      <c r="B79" s="56" t="s">
        <v>138</v>
      </c>
      <c r="C79" s="57" t="s">
        <v>18</v>
      </c>
      <c r="D79" s="58" t="s">
        <v>139</v>
      </c>
      <c r="E79" s="59" t="s">
        <v>20</v>
      </c>
      <c r="F79" s="60">
        <f>'Memória de Cálculo'!F76</f>
        <v>0.19</v>
      </c>
      <c r="G79" s="61">
        <v>558.66</v>
      </c>
      <c r="H79" s="62">
        <f t="shared" si="12"/>
        <v>678.83</v>
      </c>
      <c r="I79" s="63">
        <f t="shared" si="13"/>
        <v>128.97999999999999</v>
      </c>
      <c r="L79" s="64"/>
    </row>
    <row r="80" spans="1:12" ht="17.25" customHeight="1" x14ac:dyDescent="0.25">
      <c r="A80" s="55" t="s">
        <v>225</v>
      </c>
      <c r="B80" s="56" t="s">
        <v>141</v>
      </c>
      <c r="C80" s="57" t="s">
        <v>94</v>
      </c>
      <c r="D80" s="58" t="s">
        <v>140</v>
      </c>
      <c r="E80" s="59" t="s">
        <v>15</v>
      </c>
      <c r="F80" s="60">
        <f>'Memória de Cálculo'!F77</f>
        <v>0.19</v>
      </c>
      <c r="G80" s="61">
        <v>1301.49</v>
      </c>
      <c r="H80" s="62">
        <f t="shared" si="12"/>
        <v>1581.44</v>
      </c>
      <c r="I80" s="63">
        <f t="shared" si="13"/>
        <v>300.47000000000003</v>
      </c>
      <c r="L80" s="64"/>
    </row>
    <row r="81" spans="1:12" ht="20.25" customHeight="1" x14ac:dyDescent="0.25">
      <c r="A81" s="48" t="s">
        <v>115</v>
      </c>
      <c r="B81" s="49"/>
      <c r="C81" s="49"/>
      <c r="D81" s="50" t="s">
        <v>137</v>
      </c>
      <c r="E81" s="51"/>
      <c r="F81" s="52"/>
      <c r="G81" s="52"/>
      <c r="H81" s="53"/>
      <c r="I81" s="54">
        <f>ROUND(I83+I84+I85+I86,2)</f>
        <v>92936.26</v>
      </c>
      <c r="L81" s="64"/>
    </row>
    <row r="82" spans="1:12" ht="44.25" customHeight="1" x14ac:dyDescent="0.25">
      <c r="A82" s="55" t="s">
        <v>192</v>
      </c>
      <c r="B82" s="56" t="s">
        <v>286</v>
      </c>
      <c r="C82" s="57" t="s">
        <v>18</v>
      </c>
      <c r="D82" s="58" t="s">
        <v>285</v>
      </c>
      <c r="E82" s="393" t="s">
        <v>287</v>
      </c>
      <c r="F82" s="394"/>
      <c r="G82" s="394"/>
      <c r="H82" s="394"/>
      <c r="I82" s="395"/>
      <c r="L82" s="64"/>
    </row>
    <row r="83" spans="1:12" ht="38.25" x14ac:dyDescent="0.25">
      <c r="A83" s="55" t="s">
        <v>193</v>
      </c>
      <c r="B83" s="56" t="s">
        <v>142</v>
      </c>
      <c r="C83" s="57" t="s">
        <v>18</v>
      </c>
      <c r="D83" s="58" t="s">
        <v>146</v>
      </c>
      <c r="E83" s="59" t="s">
        <v>147</v>
      </c>
      <c r="F83" s="60">
        <f>'Memória de Cálculo'!F79</f>
        <v>5626.42</v>
      </c>
      <c r="G83" s="61">
        <v>1.93</v>
      </c>
      <c r="H83" s="62">
        <f>ROUND(G83*(1+$I$16),2)</f>
        <v>2.35</v>
      </c>
      <c r="I83" s="63">
        <f>ROUND(F83*H83,2)</f>
        <v>13222.09</v>
      </c>
      <c r="L83" s="64"/>
    </row>
    <row r="84" spans="1:12" ht="47.25" customHeight="1" x14ac:dyDescent="0.25">
      <c r="A84" s="55" t="s">
        <v>194</v>
      </c>
      <c r="B84" s="56" t="s">
        <v>143</v>
      </c>
      <c r="C84" s="57" t="s">
        <v>18</v>
      </c>
      <c r="D84" s="58" t="s">
        <v>148</v>
      </c>
      <c r="E84" s="59" t="s">
        <v>147</v>
      </c>
      <c r="F84" s="60">
        <f>'Memória de Cálculo'!F80</f>
        <v>3488.38</v>
      </c>
      <c r="G84" s="61">
        <v>0.79</v>
      </c>
      <c r="H84" s="62">
        <f t="shared" ref="H84:H86" si="14">ROUND(G84*(1+$I$16),2)</f>
        <v>0.96</v>
      </c>
      <c r="I84" s="63">
        <f t="shared" ref="I84:I86" si="15">ROUND(F84*H84,2)</f>
        <v>3348.84</v>
      </c>
      <c r="L84" s="64"/>
    </row>
    <row r="85" spans="1:12" ht="38.25" x14ac:dyDescent="0.25">
      <c r="A85" s="55" t="s">
        <v>195</v>
      </c>
      <c r="B85" s="56" t="s">
        <v>293</v>
      </c>
      <c r="C85" s="57" t="s">
        <v>303</v>
      </c>
      <c r="D85" s="397" t="s">
        <v>292</v>
      </c>
      <c r="E85" s="59" t="s">
        <v>14</v>
      </c>
      <c r="F85" s="60">
        <f>'Memória de Cálculo'!F81</f>
        <v>1172.17</v>
      </c>
      <c r="G85" s="61">
        <f>'Composição de custo'!G27</f>
        <v>53.18</v>
      </c>
      <c r="H85" s="62">
        <f t="shared" si="14"/>
        <v>64.62</v>
      </c>
      <c r="I85" s="63">
        <f t="shared" si="15"/>
        <v>75745.63</v>
      </c>
      <c r="L85" s="64"/>
    </row>
    <row r="86" spans="1:12" ht="63.75" x14ac:dyDescent="0.25">
      <c r="A86" s="55" t="s">
        <v>291</v>
      </c>
      <c r="B86" s="56" t="s">
        <v>145</v>
      </c>
      <c r="C86" s="57" t="s">
        <v>18</v>
      </c>
      <c r="D86" s="58" t="s">
        <v>150</v>
      </c>
      <c r="E86" s="59" t="s">
        <v>21</v>
      </c>
      <c r="F86" s="60">
        <f>'Memória de Cálculo'!F82</f>
        <v>10</v>
      </c>
      <c r="G86" s="61">
        <v>51</v>
      </c>
      <c r="H86" s="62">
        <f t="shared" si="14"/>
        <v>61.97</v>
      </c>
      <c r="I86" s="63">
        <f t="shared" si="15"/>
        <v>619.70000000000005</v>
      </c>
    </row>
    <row r="87" spans="1:12" ht="15.75" x14ac:dyDescent="0.25">
      <c r="A87" s="252" t="s">
        <v>33</v>
      </c>
      <c r="B87" s="253"/>
      <c r="C87" s="253"/>
      <c r="D87" s="253"/>
      <c r="E87" s="253"/>
      <c r="F87" s="253"/>
      <c r="G87" s="253"/>
      <c r="H87" s="72"/>
      <c r="I87" s="73">
        <f>I68+I57+I41+I20</f>
        <v>547198.31000000006</v>
      </c>
    </row>
    <row r="88" spans="1:12" ht="16.5" thickBot="1" x14ac:dyDescent="0.3">
      <c r="A88" s="74"/>
      <c r="B88" s="75"/>
      <c r="C88" s="75"/>
      <c r="D88" s="76"/>
      <c r="E88" s="77"/>
      <c r="F88" s="78"/>
      <c r="G88" s="78"/>
      <c r="H88" s="78"/>
      <c r="I88" s="79"/>
      <c r="K88" s="65"/>
    </row>
    <row r="89" spans="1:12" x14ac:dyDescent="0.25">
      <c r="A89" s="254"/>
      <c r="B89" s="255"/>
      <c r="C89" s="255"/>
      <c r="D89" s="255"/>
      <c r="E89" s="255"/>
      <c r="F89" s="255"/>
      <c r="G89" s="255"/>
      <c r="H89" s="255"/>
      <c r="I89" s="256"/>
    </row>
    <row r="90" spans="1:12" x14ac:dyDescent="0.25">
      <c r="A90" s="80"/>
      <c r="B90" s="81"/>
      <c r="C90" s="81"/>
      <c r="D90" s="82"/>
      <c r="E90" s="81"/>
      <c r="F90" s="83"/>
      <c r="G90" s="83"/>
      <c r="H90" s="83"/>
      <c r="I90" s="84"/>
    </row>
    <row r="91" spans="1:12" x14ac:dyDescent="0.25">
      <c r="A91" s="80"/>
      <c r="B91" s="81"/>
      <c r="C91" s="85"/>
      <c r="D91" s="86"/>
      <c r="E91" s="81"/>
      <c r="F91" s="83"/>
      <c r="G91" s="83"/>
      <c r="H91" s="83"/>
      <c r="I91" s="84"/>
    </row>
    <row r="92" spans="1:12" x14ac:dyDescent="0.25">
      <c r="A92" s="87"/>
      <c r="B92" s="88"/>
      <c r="C92" s="88" t="s">
        <v>308</v>
      </c>
      <c r="D92" s="88"/>
      <c r="E92" s="88"/>
      <c r="F92" s="89" t="s">
        <v>309</v>
      </c>
      <c r="G92" s="89"/>
      <c r="H92" s="90"/>
      <c r="I92" s="91"/>
    </row>
    <row r="93" spans="1:12" x14ac:dyDescent="0.25">
      <c r="A93" s="87"/>
      <c r="B93" s="88"/>
      <c r="C93" s="88"/>
      <c r="D93" s="88"/>
      <c r="E93" s="88"/>
      <c r="F93" s="257"/>
      <c r="G93" s="257"/>
      <c r="H93" s="90"/>
      <c r="I93" s="91"/>
    </row>
    <row r="94" spans="1:12" x14ac:dyDescent="0.25">
      <c r="A94" s="92"/>
      <c r="B94" s="13"/>
      <c r="C94" s="13"/>
      <c r="D94" s="15"/>
      <c r="E94" s="13"/>
      <c r="F94" s="93"/>
      <c r="G94" s="93"/>
      <c r="H94" s="93"/>
      <c r="I94" s="94"/>
    </row>
    <row r="95" spans="1:12" x14ac:dyDescent="0.25">
      <c r="A95" s="92"/>
      <c r="B95" s="13"/>
      <c r="C95" s="13"/>
      <c r="D95" s="15"/>
      <c r="E95" s="13"/>
      <c r="F95" s="93"/>
      <c r="G95" s="93"/>
      <c r="H95" s="93"/>
      <c r="I95" s="94"/>
    </row>
    <row r="96" spans="1:12" x14ac:dyDescent="0.25">
      <c r="A96" s="92"/>
      <c r="B96" s="13"/>
      <c r="C96" s="258"/>
      <c r="D96" s="258"/>
      <c r="E96" s="13"/>
      <c r="F96" s="93"/>
      <c r="G96" s="93"/>
      <c r="H96" s="93"/>
      <c r="I96" s="94"/>
    </row>
    <row r="97" spans="1:9" x14ac:dyDescent="0.25">
      <c r="A97" s="92"/>
      <c r="B97" s="13"/>
      <c r="C97" s="95"/>
      <c r="D97" s="96"/>
      <c r="E97" s="13"/>
      <c r="F97" s="93"/>
      <c r="G97" s="93"/>
      <c r="H97" s="93"/>
      <c r="I97" s="94"/>
    </row>
    <row r="98" spans="1:9" x14ac:dyDescent="0.25">
      <c r="A98" s="87"/>
      <c r="B98" s="88"/>
      <c r="C98" s="88" t="s">
        <v>310</v>
      </c>
      <c r="D98" s="88"/>
      <c r="E98" s="88"/>
      <c r="F98" s="90"/>
      <c r="G98" s="90"/>
      <c r="H98" s="90"/>
      <c r="I98" s="91"/>
    </row>
    <row r="99" spans="1:9" x14ac:dyDescent="0.25">
      <c r="A99" s="87"/>
      <c r="B99" s="88"/>
      <c r="C99" s="88"/>
      <c r="D99" s="88"/>
      <c r="E99" s="88"/>
      <c r="F99" s="90"/>
      <c r="G99" s="90"/>
      <c r="H99" s="90"/>
      <c r="I99" s="91"/>
    </row>
    <row r="100" spans="1:9" ht="15.75" thickBot="1" x14ac:dyDescent="0.3">
      <c r="A100" s="97"/>
      <c r="B100" s="98"/>
      <c r="C100" s="99"/>
      <c r="D100" s="100"/>
      <c r="E100" s="98"/>
      <c r="F100" s="101"/>
      <c r="G100" s="101"/>
      <c r="H100" s="101"/>
      <c r="I100" s="102"/>
    </row>
  </sheetData>
  <mergeCells count="17">
    <mergeCell ref="A9:I9"/>
    <mergeCell ref="A2:I2"/>
    <mergeCell ref="A3:I3"/>
    <mergeCell ref="A4:I4"/>
    <mergeCell ref="A5:I5"/>
    <mergeCell ref="A6:I6"/>
    <mergeCell ref="A87:G87"/>
    <mergeCell ref="A89:I89"/>
    <mergeCell ref="F93:G93"/>
    <mergeCell ref="C96:D96"/>
    <mergeCell ref="A10:I10"/>
    <mergeCell ref="G11:I11"/>
    <mergeCell ref="A17:I17"/>
    <mergeCell ref="E36:I36"/>
    <mergeCell ref="E52:I52"/>
    <mergeCell ref="E63:I63"/>
    <mergeCell ref="E82:I82"/>
  </mergeCells>
  <phoneticPr fontId="12" type="noConversion"/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53832-B146-4B51-B5A3-45DAEAF76193}">
  <dimension ref="A1:H60"/>
  <sheetViews>
    <sheetView tabSelected="1" workbookViewId="0">
      <selection activeCell="A4" sqref="A4:H4"/>
    </sheetView>
  </sheetViews>
  <sheetFormatPr defaultRowHeight="15" x14ac:dyDescent="0.25"/>
  <cols>
    <col min="1" max="1" width="32.28515625" customWidth="1"/>
    <col min="2" max="2" width="20.28515625" customWidth="1"/>
    <col min="3" max="3" width="21" customWidth="1"/>
    <col min="4" max="4" width="19.85546875" customWidth="1"/>
    <col min="5" max="5" width="11.7109375" customWidth="1"/>
    <col min="6" max="6" width="6.7109375" customWidth="1"/>
    <col min="7" max="7" width="8.140625" customWidth="1"/>
    <col min="8" max="8" width="14" customWidth="1"/>
  </cols>
  <sheetData>
    <row r="1" spans="1:8" x14ac:dyDescent="0.25">
      <c r="A1" s="103"/>
      <c r="B1" s="104"/>
      <c r="C1" s="104"/>
      <c r="D1" s="104"/>
      <c r="E1" s="104"/>
      <c r="F1" s="105"/>
      <c r="G1" s="104"/>
      <c r="H1" s="106"/>
    </row>
    <row r="2" spans="1:8" ht="21" x14ac:dyDescent="0.35">
      <c r="A2" s="268" t="str">
        <f>'Planilha orçamentária'!A2:I2</f>
        <v>timbrado empresa</v>
      </c>
      <c r="B2" s="269"/>
      <c r="C2" s="269"/>
      <c r="D2" s="269"/>
      <c r="E2" s="269"/>
      <c r="F2" s="269"/>
      <c r="G2" s="269"/>
      <c r="H2" s="270"/>
    </row>
    <row r="3" spans="1:8" x14ac:dyDescent="0.25">
      <c r="A3" s="271">
        <f>'Planilha orçamentária'!A3:I3</f>
        <v>0</v>
      </c>
      <c r="B3" s="272"/>
      <c r="C3" s="272"/>
      <c r="D3" s="272"/>
      <c r="E3" s="272"/>
      <c r="F3" s="272"/>
      <c r="G3" s="272"/>
      <c r="H3" s="273"/>
    </row>
    <row r="4" spans="1:8" x14ac:dyDescent="0.25">
      <c r="A4" s="274">
        <f>'Planilha orçamentária'!A4:I4</f>
        <v>0</v>
      </c>
      <c r="B4" s="275"/>
      <c r="C4" s="275"/>
      <c r="D4" s="275"/>
      <c r="E4" s="275"/>
      <c r="F4" s="275"/>
      <c r="G4" s="275"/>
      <c r="H4" s="276"/>
    </row>
    <row r="5" spans="1:8" x14ac:dyDescent="0.25">
      <c r="A5" s="274">
        <f>'Planilha orçamentária'!A5:I5</f>
        <v>0</v>
      </c>
      <c r="B5" s="275"/>
      <c r="C5" s="275"/>
      <c r="D5" s="275"/>
      <c r="E5" s="275"/>
      <c r="F5" s="275"/>
      <c r="G5" s="275"/>
      <c r="H5" s="276"/>
    </row>
    <row r="6" spans="1:8" x14ac:dyDescent="0.25">
      <c r="A6" s="274">
        <f>'Planilha orçamentária'!A6:I6</f>
        <v>0</v>
      </c>
      <c r="B6" s="275"/>
      <c r="C6" s="275"/>
      <c r="D6" s="275"/>
      <c r="E6" s="275"/>
      <c r="F6" s="275"/>
      <c r="G6" s="275"/>
      <c r="H6" s="276"/>
    </row>
    <row r="7" spans="1:8" ht="15.75" thickBot="1" x14ac:dyDescent="0.3">
      <c r="A7" s="107"/>
      <c r="B7" s="108"/>
      <c r="C7" s="108"/>
      <c r="D7" s="108"/>
      <c r="E7" s="108"/>
      <c r="F7" s="109"/>
      <c r="G7" s="108"/>
      <c r="H7" s="110"/>
    </row>
    <row r="8" spans="1:8" ht="15.75" thickBot="1" x14ac:dyDescent="0.3">
      <c r="A8" s="69"/>
      <c r="B8" s="69"/>
      <c r="C8" s="69"/>
      <c r="D8" s="69"/>
      <c r="E8" s="69"/>
      <c r="F8" s="111"/>
      <c r="G8" s="69"/>
      <c r="H8" s="69"/>
    </row>
    <row r="9" spans="1:8" ht="15.75" thickBot="1" x14ac:dyDescent="0.3">
      <c r="A9" s="289" t="str">
        <f>'Planilha orçamentária'!A11</f>
        <v>CONVENENTE: DESTERRO DO MELO-MG</v>
      </c>
      <c r="B9" s="290"/>
      <c r="C9" s="290"/>
      <c r="D9" s="290"/>
      <c r="E9" s="291"/>
      <c r="F9" s="314"/>
      <c r="G9" s="315"/>
      <c r="H9" s="316"/>
    </row>
    <row r="10" spans="1:8" x14ac:dyDescent="0.25">
      <c r="A10" s="289" t="str">
        <f>'Planilha orçamentária'!A12</f>
        <v>OBJETO: CALÇAMENTO DE VIAS RURAIS</v>
      </c>
      <c r="B10" s="290"/>
      <c r="C10" s="290"/>
      <c r="D10" s="290"/>
      <c r="E10" s="291"/>
      <c r="F10" s="292" t="str">
        <f>'Planilha orçamentária'!G13</f>
        <v>DATA: 22/04/2025</v>
      </c>
      <c r="G10" s="293"/>
      <c r="H10" s="294"/>
    </row>
    <row r="11" spans="1:8" x14ac:dyDescent="0.25">
      <c r="A11" s="295" t="str">
        <f>'Planilha orçamentária'!A13</f>
        <v>LOCAL:  MORRO DO JOÃO SAPO, TITO II, MORRO DO JOILSON E DO FÉLIX</v>
      </c>
      <c r="B11" s="296"/>
      <c r="C11" s="296"/>
      <c r="D11" s="297"/>
      <c r="E11" s="298" t="s">
        <v>1</v>
      </c>
      <c r="F11" s="299"/>
      <c r="G11" s="299"/>
      <c r="H11" s="300"/>
    </row>
    <row r="12" spans="1:8" x14ac:dyDescent="0.25">
      <c r="A12" s="295" t="str">
        <f>'Planilha orçamentária'!A15</f>
        <v xml:space="preserve">R. T. </v>
      </c>
      <c r="B12" s="296"/>
      <c r="C12" s="296"/>
      <c r="D12" s="297"/>
      <c r="E12" s="301" t="s">
        <v>34</v>
      </c>
      <c r="F12" s="303" t="s">
        <v>35</v>
      </c>
      <c r="G12" s="112" t="s">
        <v>2</v>
      </c>
      <c r="H12" s="113" t="s">
        <v>24</v>
      </c>
    </row>
    <row r="13" spans="1:8" ht="15.75" thickBot="1" x14ac:dyDescent="0.3">
      <c r="A13" s="295" t="str">
        <f>'Planilha orçamentária'!A16</f>
        <v>PRAZO DE EXECUÇÃO: 4 (QUATRO) MESES</v>
      </c>
      <c r="B13" s="296"/>
      <c r="C13" s="296"/>
      <c r="D13" s="297"/>
      <c r="E13" s="302"/>
      <c r="F13" s="304"/>
      <c r="G13" s="114" t="s">
        <v>3</v>
      </c>
      <c r="H13" s="115">
        <f>ROUND(C45,4)</f>
        <v>0.21510000000000001</v>
      </c>
    </row>
    <row r="14" spans="1:8" x14ac:dyDescent="0.25">
      <c r="A14" s="103"/>
      <c r="B14" s="104"/>
      <c r="C14" s="104"/>
      <c r="D14" s="104"/>
      <c r="E14" s="104"/>
      <c r="F14" s="104"/>
      <c r="G14" s="104"/>
      <c r="H14" s="106"/>
    </row>
    <row r="15" spans="1:8" ht="21" x14ac:dyDescent="0.35">
      <c r="A15" s="305" t="s">
        <v>36</v>
      </c>
      <c r="B15" s="306"/>
      <c r="C15" s="306"/>
      <c r="D15" s="306"/>
      <c r="E15" s="306"/>
      <c r="F15" s="306"/>
      <c r="G15" s="306"/>
      <c r="H15" s="307"/>
    </row>
    <row r="16" spans="1:8" x14ac:dyDescent="0.25">
      <c r="A16" s="119"/>
      <c r="B16" s="120"/>
      <c r="C16" s="120"/>
      <c r="D16" s="120"/>
      <c r="E16" s="120"/>
      <c r="F16" s="120"/>
      <c r="G16" s="120"/>
      <c r="H16" s="121"/>
    </row>
    <row r="17" spans="1:8" x14ac:dyDescent="0.25">
      <c r="A17" s="119"/>
      <c r="B17" s="120"/>
      <c r="C17" s="120"/>
      <c r="D17" s="120"/>
      <c r="E17" s="120"/>
      <c r="F17" s="120"/>
      <c r="G17" s="120"/>
      <c r="H17" s="121"/>
    </row>
    <row r="18" spans="1:8" ht="21" x14ac:dyDescent="0.35">
      <c r="A18" s="305" t="s">
        <v>37</v>
      </c>
      <c r="B18" s="306"/>
      <c r="C18" s="306"/>
      <c r="D18" s="306"/>
      <c r="E18" s="306"/>
      <c r="F18" s="306"/>
      <c r="G18" s="306"/>
      <c r="H18" s="307"/>
    </row>
    <row r="19" spans="1:8" ht="21" x14ac:dyDescent="0.35">
      <c r="A19" s="116"/>
      <c r="B19" s="117"/>
      <c r="C19" s="117"/>
      <c r="D19" s="117"/>
      <c r="E19" s="117"/>
      <c r="F19" s="117"/>
      <c r="G19" s="117"/>
      <c r="H19" s="118"/>
    </row>
    <row r="20" spans="1:8" ht="15.75" x14ac:dyDescent="0.25">
      <c r="A20" s="308"/>
      <c r="B20" s="309"/>
      <c r="C20" s="309"/>
      <c r="D20" s="309"/>
      <c r="E20" s="309"/>
      <c r="F20" s="309"/>
      <c r="G20" s="309"/>
      <c r="H20" s="310"/>
    </row>
    <row r="21" spans="1:8" ht="21" x14ac:dyDescent="0.35">
      <c r="A21" s="311" t="s">
        <v>280</v>
      </c>
      <c r="B21" s="312"/>
      <c r="C21" s="312"/>
      <c r="D21" s="312"/>
      <c r="E21" s="312"/>
      <c r="F21" s="312"/>
      <c r="G21" s="312"/>
      <c r="H21" s="313"/>
    </row>
    <row r="22" spans="1:8" ht="15.75" x14ac:dyDescent="0.25">
      <c r="A22" s="308"/>
      <c r="B22" s="309"/>
      <c r="C22" s="309"/>
      <c r="D22" s="309"/>
      <c r="E22" s="309"/>
      <c r="F22" s="309"/>
      <c r="G22" s="309"/>
      <c r="H22" s="310"/>
    </row>
    <row r="23" spans="1:8" ht="15.75" x14ac:dyDescent="0.25">
      <c r="A23" s="283"/>
      <c r="B23" s="288"/>
      <c r="C23" s="124"/>
      <c r="D23" s="124"/>
      <c r="E23" s="124"/>
      <c r="F23" s="124"/>
      <c r="G23" s="124"/>
      <c r="H23" s="125"/>
    </row>
    <row r="24" spans="1:8" ht="15.75" x14ac:dyDescent="0.25">
      <c r="A24" s="283"/>
      <c r="B24" s="288"/>
      <c r="C24" s="123" t="s">
        <v>281</v>
      </c>
      <c r="D24" s="123" t="s">
        <v>38</v>
      </c>
      <c r="E24" s="123" t="s">
        <v>39</v>
      </c>
      <c r="F24" s="124"/>
      <c r="G24" s="124"/>
      <c r="H24" s="125"/>
    </row>
    <row r="25" spans="1:8" ht="15.75" x14ac:dyDescent="0.25">
      <c r="A25" s="122"/>
      <c r="B25" s="124"/>
      <c r="C25" s="124"/>
      <c r="D25" s="124"/>
      <c r="E25" s="124"/>
      <c r="F25" s="124"/>
      <c r="G25" s="124"/>
      <c r="H25" s="125"/>
    </row>
    <row r="26" spans="1:8" ht="15.75" x14ac:dyDescent="0.25">
      <c r="A26" s="122" t="s">
        <v>40</v>
      </c>
      <c r="B26" s="123" t="s">
        <v>41</v>
      </c>
      <c r="C26" s="126">
        <v>1</v>
      </c>
      <c r="D26" s="126">
        <v>1</v>
      </c>
      <c r="E26" s="124"/>
      <c r="F26" s="124"/>
      <c r="G26" s="124"/>
      <c r="H26" s="125"/>
    </row>
    <row r="27" spans="1:8" ht="15.75" x14ac:dyDescent="0.25">
      <c r="A27" s="122" t="s">
        <v>42</v>
      </c>
      <c r="B27" s="123" t="s">
        <v>43</v>
      </c>
      <c r="C27" s="126">
        <v>4.6699999999999998E-2</v>
      </c>
      <c r="D27" s="126">
        <v>3.4200000000000001E-2</v>
      </c>
      <c r="E27" s="123" t="s">
        <v>41</v>
      </c>
      <c r="F27" s="124"/>
      <c r="G27" s="124"/>
      <c r="H27" s="125"/>
    </row>
    <row r="28" spans="1:8" ht="15.75" x14ac:dyDescent="0.25">
      <c r="A28" s="122" t="s">
        <v>44</v>
      </c>
      <c r="B28" s="123" t="s">
        <v>22</v>
      </c>
      <c r="C28" s="126">
        <v>7.5300000000000006E-2</v>
      </c>
      <c r="D28" s="126">
        <v>4.9399999999999999E-2</v>
      </c>
      <c r="E28" s="123" t="s">
        <v>41</v>
      </c>
      <c r="F28" s="124"/>
      <c r="G28" s="124"/>
      <c r="H28" s="125"/>
    </row>
    <row r="29" spans="1:8" ht="15.75" x14ac:dyDescent="0.25">
      <c r="A29" s="122" t="s">
        <v>45</v>
      </c>
      <c r="B29" s="123" t="s">
        <v>46</v>
      </c>
      <c r="C29" s="126">
        <v>8.6E-3</v>
      </c>
      <c r="D29" s="126">
        <v>7.6E-3</v>
      </c>
      <c r="E29" s="123" t="s">
        <v>41</v>
      </c>
      <c r="F29" s="124"/>
      <c r="G29" s="124"/>
      <c r="H29" s="125"/>
    </row>
    <row r="30" spans="1:8" ht="15.75" x14ac:dyDescent="0.25">
      <c r="A30" s="127" t="s">
        <v>47</v>
      </c>
      <c r="B30" s="128"/>
      <c r="C30" s="129">
        <v>1.7100000000000001E-2</v>
      </c>
      <c r="D30" s="129">
        <v>1.29E-2</v>
      </c>
      <c r="E30" s="128" t="s">
        <v>41</v>
      </c>
      <c r="F30" s="130"/>
      <c r="G30" s="130"/>
      <c r="H30" s="131"/>
    </row>
    <row r="31" spans="1:8" ht="15.75" x14ac:dyDescent="0.25">
      <c r="A31" s="122" t="s">
        <v>48</v>
      </c>
      <c r="B31" s="123" t="s">
        <v>49</v>
      </c>
      <c r="C31" s="126">
        <v>7.4000000000000003E-3</v>
      </c>
      <c r="D31" s="126">
        <v>5.3E-3</v>
      </c>
      <c r="E31" s="123" t="s">
        <v>41</v>
      </c>
      <c r="F31" s="124"/>
      <c r="G31" s="124"/>
      <c r="H31" s="125"/>
    </row>
    <row r="32" spans="1:8" ht="15.75" x14ac:dyDescent="0.25">
      <c r="A32" s="122" t="s">
        <v>50</v>
      </c>
      <c r="B32" s="123" t="s">
        <v>51</v>
      </c>
      <c r="C32" s="126">
        <v>9.7000000000000003E-3</v>
      </c>
      <c r="D32" s="126">
        <v>7.6E-3</v>
      </c>
      <c r="E32" s="123" t="s">
        <v>41</v>
      </c>
      <c r="F32" s="124"/>
      <c r="G32" s="124"/>
      <c r="H32" s="125"/>
    </row>
    <row r="33" spans="1:8" ht="15.75" x14ac:dyDescent="0.25">
      <c r="A33" s="127" t="s">
        <v>52</v>
      </c>
      <c r="B33" s="128" t="s">
        <v>53</v>
      </c>
      <c r="C33" s="129">
        <v>5.0500000000000003E-2</v>
      </c>
      <c r="D33" s="129">
        <f>SUM(D35:D36)</f>
        <v>3.6499999999999998E-2</v>
      </c>
      <c r="E33" s="128" t="s">
        <v>54</v>
      </c>
      <c r="F33" s="130"/>
      <c r="G33" s="130"/>
      <c r="H33" s="131"/>
    </row>
    <row r="34" spans="1:8" ht="15.75" x14ac:dyDescent="0.25">
      <c r="A34" s="122" t="s">
        <v>55</v>
      </c>
      <c r="B34" s="123" t="s">
        <v>55</v>
      </c>
      <c r="C34" s="132">
        <v>1.4E-2</v>
      </c>
      <c r="D34" s="132"/>
      <c r="E34" s="133" t="s">
        <v>54</v>
      </c>
      <c r="F34" s="124"/>
      <c r="G34" s="124"/>
      <c r="H34" s="125"/>
    </row>
    <row r="35" spans="1:8" ht="15.75" x14ac:dyDescent="0.25">
      <c r="A35" s="122" t="s">
        <v>56</v>
      </c>
      <c r="B35" s="123" t="s">
        <v>56</v>
      </c>
      <c r="C35" s="126">
        <v>6.4999999999999997E-3</v>
      </c>
      <c r="D35" s="126">
        <v>6.4999999999999997E-3</v>
      </c>
      <c r="E35" s="123" t="s">
        <v>54</v>
      </c>
      <c r="F35" s="124"/>
      <c r="G35" s="124"/>
      <c r="H35" s="125"/>
    </row>
    <row r="36" spans="1:8" ht="15.75" x14ac:dyDescent="0.25">
      <c r="A36" s="122" t="s">
        <v>57</v>
      </c>
      <c r="B36" s="123" t="s">
        <v>57</v>
      </c>
      <c r="C36" s="126">
        <v>0.03</v>
      </c>
      <c r="D36" s="126">
        <v>0.03</v>
      </c>
      <c r="E36" s="123" t="s">
        <v>54</v>
      </c>
      <c r="F36" s="124"/>
      <c r="G36" s="124"/>
      <c r="H36" s="125"/>
    </row>
    <row r="37" spans="1:8" ht="15.75" x14ac:dyDescent="0.25">
      <c r="A37" s="122" t="s">
        <v>58</v>
      </c>
      <c r="B37" s="123" t="s">
        <v>59</v>
      </c>
      <c r="C37" s="126"/>
      <c r="D37" s="126">
        <v>4.4999999999999998E-2</v>
      </c>
      <c r="E37" s="123" t="s">
        <v>54</v>
      </c>
      <c r="F37" s="124"/>
      <c r="G37" s="124"/>
      <c r="H37" s="125"/>
    </row>
    <row r="38" spans="1:8" ht="15.75" x14ac:dyDescent="0.25">
      <c r="A38" s="283"/>
      <c r="B38" s="277"/>
      <c r="C38" s="277"/>
      <c r="D38" s="277"/>
      <c r="E38" s="277"/>
      <c r="F38" s="277"/>
      <c r="G38" s="277"/>
      <c r="H38" s="284"/>
    </row>
    <row r="39" spans="1:8" ht="15.75" x14ac:dyDescent="0.25">
      <c r="A39" s="283" t="s">
        <v>60</v>
      </c>
      <c r="B39" s="285" t="s">
        <v>61</v>
      </c>
      <c r="C39" s="277" t="s">
        <v>62</v>
      </c>
      <c r="D39" s="277"/>
      <c r="E39" s="277"/>
      <c r="F39" s="277"/>
      <c r="G39" s="277"/>
      <c r="H39" s="284"/>
    </row>
    <row r="40" spans="1:8" ht="15.75" x14ac:dyDescent="0.25">
      <c r="A40" s="283"/>
      <c r="B40" s="285"/>
      <c r="C40" s="277" t="s">
        <v>63</v>
      </c>
      <c r="D40" s="277"/>
      <c r="E40" s="277"/>
      <c r="F40" s="277"/>
      <c r="G40" s="277"/>
      <c r="H40" s="284"/>
    </row>
    <row r="41" spans="1:8" ht="15.75" x14ac:dyDescent="0.25">
      <c r="A41" s="122"/>
      <c r="B41" s="124"/>
      <c r="C41" s="124"/>
      <c r="D41" s="124"/>
      <c r="E41" s="124"/>
      <c r="F41" s="124"/>
      <c r="G41" s="124"/>
      <c r="H41" s="125"/>
    </row>
    <row r="42" spans="1:8" ht="15.75" x14ac:dyDescent="0.25">
      <c r="A42" s="122"/>
      <c r="B42" s="124" t="s">
        <v>64</v>
      </c>
      <c r="C42" s="134">
        <f>(1+(C27+C30))*(1+C29)*(1+C28)-1</f>
        <v>0.1537</v>
      </c>
      <c r="D42" s="134">
        <f>(1+(D27+D30))*(1+D29)*(1+D28)-1</f>
        <v>0.1072</v>
      </c>
      <c r="E42" s="124"/>
      <c r="F42" s="124"/>
      <c r="G42" s="124"/>
      <c r="H42" s="125"/>
    </row>
    <row r="43" spans="1:8" ht="15.75" x14ac:dyDescent="0.25">
      <c r="A43" s="122"/>
      <c r="B43" s="124"/>
      <c r="C43" s="134"/>
      <c r="D43" s="134"/>
      <c r="E43" s="124"/>
      <c r="F43" s="124"/>
      <c r="G43" s="124"/>
      <c r="H43" s="125"/>
    </row>
    <row r="44" spans="1:8" ht="15.75" x14ac:dyDescent="0.25">
      <c r="A44" s="122"/>
      <c r="B44" s="124" t="s">
        <v>65</v>
      </c>
      <c r="C44" s="134">
        <f>(1-(C33+C37))</f>
        <v>0.94950000000000001</v>
      </c>
      <c r="D44" s="134">
        <f>(1-(D33+D37))</f>
        <v>0.91849999999999998</v>
      </c>
      <c r="E44" s="124"/>
      <c r="F44" s="124"/>
      <c r="G44" s="124"/>
      <c r="H44" s="125"/>
    </row>
    <row r="45" spans="1:8" ht="15.75" x14ac:dyDescent="0.25">
      <c r="A45" s="122"/>
      <c r="B45" s="286" t="s">
        <v>61</v>
      </c>
      <c r="C45" s="287">
        <f>(1+C42)/C44-1</f>
        <v>0.21510000000000001</v>
      </c>
      <c r="D45" s="287">
        <f>(1+D42)/D44-1</f>
        <v>0.2054</v>
      </c>
      <c r="E45" s="277"/>
      <c r="F45" s="277"/>
      <c r="G45" s="277"/>
      <c r="H45" s="278"/>
    </row>
    <row r="46" spans="1:8" ht="15.75" x14ac:dyDescent="0.25">
      <c r="A46" s="122"/>
      <c r="B46" s="286"/>
      <c r="C46" s="287"/>
      <c r="D46" s="287"/>
      <c r="E46" s="277"/>
      <c r="F46" s="277"/>
      <c r="G46" s="277"/>
      <c r="H46" s="279"/>
    </row>
    <row r="47" spans="1:8" ht="15.75" x14ac:dyDescent="0.25">
      <c r="A47" s="122"/>
      <c r="B47" s="124"/>
      <c r="C47" s="124"/>
      <c r="D47" s="124"/>
      <c r="E47" s="124"/>
      <c r="F47" s="124"/>
      <c r="G47" s="124"/>
      <c r="H47" s="125"/>
    </row>
    <row r="48" spans="1:8" ht="16.5" thickBot="1" x14ac:dyDescent="0.3">
      <c r="A48" s="280"/>
      <c r="B48" s="281"/>
      <c r="C48" s="281"/>
      <c r="D48" s="281"/>
      <c r="E48" s="281"/>
      <c r="F48" s="281"/>
      <c r="G48" s="281"/>
      <c r="H48" s="282"/>
    </row>
    <row r="49" spans="1:8" ht="15.75" x14ac:dyDescent="0.25">
      <c r="A49" s="136"/>
      <c r="B49" s="137"/>
      <c r="C49" s="137"/>
      <c r="D49" s="137"/>
      <c r="E49" s="137"/>
      <c r="F49" s="137"/>
      <c r="G49" s="137"/>
      <c r="H49" s="138"/>
    </row>
    <row r="50" spans="1:8" ht="15.75" x14ac:dyDescent="0.25">
      <c r="A50" s="136"/>
      <c r="B50" s="137"/>
      <c r="C50" s="137"/>
      <c r="D50" s="137"/>
      <c r="E50" s="137"/>
      <c r="F50" s="137"/>
      <c r="G50" s="137"/>
      <c r="H50" s="138"/>
    </row>
    <row r="51" spans="1:8" ht="15.75" x14ac:dyDescent="0.25">
      <c r="A51" s="136"/>
      <c r="B51" s="137"/>
      <c r="C51" s="137"/>
      <c r="D51" s="137"/>
      <c r="E51" s="137"/>
      <c r="F51" s="137"/>
      <c r="G51" s="137"/>
      <c r="H51" s="138"/>
    </row>
    <row r="52" spans="1:8" ht="15.75" x14ac:dyDescent="0.25">
      <c r="A52" s="136" t="str">
        <f>'Planilha orçamentária'!C92</f>
        <v>R.T empresa</v>
      </c>
      <c r="B52" s="137"/>
      <c r="C52" s="137"/>
      <c r="D52" s="139" t="str">
        <f>'Planilha orçamentária'!F92</f>
        <v>CREAMG Nº</v>
      </c>
      <c r="E52" s="137"/>
      <c r="F52" s="137"/>
      <c r="G52" s="137"/>
      <c r="H52" s="138"/>
    </row>
    <row r="53" spans="1:8" ht="15.75" x14ac:dyDescent="0.25">
      <c r="A53" s="136">
        <f>'Planilha orçamentária'!C93</f>
        <v>0</v>
      </c>
      <c r="B53" s="120"/>
      <c r="C53" s="120"/>
      <c r="D53" s="120"/>
      <c r="E53" s="120"/>
      <c r="F53" s="120"/>
      <c r="G53" s="120"/>
      <c r="H53" s="121"/>
    </row>
    <row r="54" spans="1:8" ht="15.75" x14ac:dyDescent="0.25">
      <c r="A54" s="136"/>
      <c r="B54" s="120"/>
      <c r="C54" s="120"/>
      <c r="D54" s="120"/>
      <c r="E54" s="120"/>
      <c r="F54" s="120"/>
      <c r="G54" s="120"/>
      <c r="H54" s="121"/>
    </row>
    <row r="55" spans="1:8" ht="15.75" x14ac:dyDescent="0.25">
      <c r="A55" s="136"/>
      <c r="B55" s="120"/>
      <c r="C55" s="120"/>
      <c r="D55" s="120"/>
      <c r="E55" s="120"/>
      <c r="F55" s="120"/>
      <c r="G55" s="120"/>
      <c r="H55" s="121"/>
    </row>
    <row r="56" spans="1:8" ht="15.75" x14ac:dyDescent="0.25">
      <c r="A56" s="136"/>
      <c r="B56" s="120"/>
      <c r="C56" s="120"/>
      <c r="D56" s="120"/>
      <c r="E56" s="120"/>
      <c r="F56" s="120"/>
      <c r="G56" s="120"/>
      <c r="H56" s="121"/>
    </row>
    <row r="57" spans="1:8" ht="15.75" x14ac:dyDescent="0.25">
      <c r="A57" s="136" t="str">
        <f>'Planilha orçamentária'!C98</f>
        <v>Responsavel Empresa</v>
      </c>
      <c r="B57" s="120"/>
      <c r="C57" s="120"/>
      <c r="D57" s="120"/>
      <c r="E57" s="120"/>
      <c r="F57" s="120"/>
      <c r="G57" s="120"/>
      <c r="H57" s="121"/>
    </row>
    <row r="58" spans="1:8" ht="15.75" x14ac:dyDescent="0.25">
      <c r="A58" s="136">
        <f>'Planilha orçamentária'!C99</f>
        <v>0</v>
      </c>
      <c r="B58" s="120"/>
      <c r="C58" s="120"/>
      <c r="D58" s="120"/>
      <c r="E58" s="120"/>
      <c r="F58" s="120"/>
      <c r="G58" s="120"/>
      <c r="H58" s="121"/>
    </row>
    <row r="59" spans="1:8" ht="15.75" x14ac:dyDescent="0.25">
      <c r="A59" s="136"/>
      <c r="B59" s="120"/>
      <c r="C59" s="120"/>
      <c r="D59" s="120"/>
      <c r="E59" s="120"/>
      <c r="F59" s="120"/>
      <c r="G59" s="120"/>
      <c r="H59" s="121"/>
    </row>
    <row r="60" spans="1:8" ht="16.5" thickBot="1" x14ac:dyDescent="0.3">
      <c r="A60" s="135"/>
      <c r="B60" s="108"/>
      <c r="C60" s="108"/>
      <c r="D60" s="108"/>
      <c r="E60" s="108"/>
      <c r="F60" s="108"/>
      <c r="G60" s="108"/>
      <c r="H60" s="110"/>
    </row>
  </sheetData>
  <mergeCells count="35">
    <mergeCell ref="A9:E9"/>
    <mergeCell ref="F9:H9"/>
    <mergeCell ref="A2:H2"/>
    <mergeCell ref="A3:H3"/>
    <mergeCell ref="A4:H4"/>
    <mergeCell ref="A5:H5"/>
    <mergeCell ref="A6:H6"/>
    <mergeCell ref="A23:A24"/>
    <mergeCell ref="B23:B24"/>
    <mergeCell ref="A10:E10"/>
    <mergeCell ref="F10:H10"/>
    <mergeCell ref="A11:D11"/>
    <mergeCell ref="E11:H11"/>
    <mergeCell ref="A12:D12"/>
    <mergeCell ref="E12:E13"/>
    <mergeCell ref="F12:F13"/>
    <mergeCell ref="A13:D13"/>
    <mergeCell ref="A15:H15"/>
    <mergeCell ref="A18:H18"/>
    <mergeCell ref="A20:H20"/>
    <mergeCell ref="A21:H21"/>
    <mergeCell ref="A22:H22"/>
    <mergeCell ref="G45:G46"/>
    <mergeCell ref="H45:H46"/>
    <mergeCell ref="A48:H48"/>
    <mergeCell ref="A38:H38"/>
    <mergeCell ref="A39:A40"/>
    <mergeCell ref="B39:B40"/>
    <mergeCell ref="C39:H39"/>
    <mergeCell ref="C40:H40"/>
    <mergeCell ref="B45:B46"/>
    <mergeCell ref="C45:C46"/>
    <mergeCell ref="D45:D46"/>
    <mergeCell ref="E45:E46"/>
    <mergeCell ref="F45:F46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FF7F7-474C-4082-8B84-47529D7FE29C}">
  <dimension ref="A1:G33"/>
  <sheetViews>
    <sheetView workbookViewId="0">
      <selection activeCell="G32" sqref="A1:G32"/>
    </sheetView>
  </sheetViews>
  <sheetFormatPr defaultRowHeight="15" x14ac:dyDescent="0.25"/>
  <cols>
    <col min="1" max="1" width="12.28515625" customWidth="1"/>
    <col min="2" max="2" width="12.85546875" customWidth="1"/>
    <col min="3" max="3" width="42.7109375" customWidth="1"/>
    <col min="4" max="4" width="15.7109375" customWidth="1"/>
    <col min="6" max="6" width="12.140625" customWidth="1"/>
    <col min="7" max="7" width="10.28515625" customWidth="1"/>
    <col min="8" max="8" width="13.28515625" customWidth="1"/>
  </cols>
  <sheetData>
    <row r="1" spans="1:7" x14ac:dyDescent="0.25">
      <c r="A1" s="317" t="s">
        <v>71</v>
      </c>
      <c r="B1" s="317"/>
      <c r="C1" s="317"/>
      <c r="D1" s="317"/>
      <c r="E1" s="317"/>
      <c r="F1" s="317"/>
      <c r="G1" s="317"/>
    </row>
    <row r="2" spans="1:7" x14ac:dyDescent="0.25">
      <c r="A2" s="317"/>
      <c r="B2" s="317"/>
      <c r="C2" s="317"/>
      <c r="D2" s="317"/>
      <c r="E2" s="317"/>
      <c r="F2" s="317"/>
      <c r="G2" s="317"/>
    </row>
    <row r="3" spans="1:7" x14ac:dyDescent="0.25">
      <c r="A3" s="140" t="s">
        <v>66</v>
      </c>
      <c r="B3" s="141" t="s">
        <v>5</v>
      </c>
      <c r="C3" s="142" t="s">
        <v>7</v>
      </c>
      <c r="D3" s="140" t="s">
        <v>67</v>
      </c>
      <c r="E3" s="140" t="s">
        <v>68</v>
      </c>
      <c r="F3" s="143" t="s">
        <v>69</v>
      </c>
      <c r="G3" s="143" t="s">
        <v>70</v>
      </c>
    </row>
    <row r="4" spans="1:7" x14ac:dyDescent="0.25">
      <c r="A4" s="144" t="s">
        <v>96</v>
      </c>
      <c r="B4" s="144" t="s">
        <v>31</v>
      </c>
      <c r="C4" s="144" t="s">
        <v>228</v>
      </c>
      <c r="D4" s="145" t="s">
        <v>136</v>
      </c>
      <c r="E4" s="146"/>
      <c r="F4" s="147"/>
      <c r="G4" s="147">
        <f>SUM(G5:G21)</f>
        <v>943.36</v>
      </c>
    </row>
    <row r="5" spans="1:7" ht="23.25" x14ac:dyDescent="0.25">
      <c r="A5" s="148" t="s">
        <v>18</v>
      </c>
      <c r="B5" s="148" t="s">
        <v>229</v>
      </c>
      <c r="C5" s="149" t="s">
        <v>245</v>
      </c>
      <c r="D5" s="150" t="s">
        <v>246</v>
      </c>
      <c r="E5" s="242">
        <v>1</v>
      </c>
      <c r="F5" s="151">
        <v>6.93</v>
      </c>
      <c r="G5" s="151">
        <f>F5*E5</f>
        <v>6.93</v>
      </c>
    </row>
    <row r="6" spans="1:7" ht="34.5" x14ac:dyDescent="0.25">
      <c r="A6" s="148" t="s">
        <v>18</v>
      </c>
      <c r="B6" s="148" t="s">
        <v>230</v>
      </c>
      <c r="C6" s="149" t="s">
        <v>247</v>
      </c>
      <c r="D6" s="150" t="s">
        <v>248</v>
      </c>
      <c r="E6" s="242">
        <v>0.09</v>
      </c>
      <c r="F6" s="151">
        <v>508.6</v>
      </c>
      <c r="G6" s="151">
        <f t="shared" ref="G6:G21" si="0">F6*E6</f>
        <v>45.77</v>
      </c>
    </row>
    <row r="7" spans="1:7" ht="23.25" x14ac:dyDescent="0.25">
      <c r="A7" s="148" t="s">
        <v>18</v>
      </c>
      <c r="B7" s="148" t="s">
        <v>231</v>
      </c>
      <c r="C7" s="149" t="s">
        <v>249</v>
      </c>
      <c r="D7" s="150" t="s">
        <v>97</v>
      </c>
      <c r="E7" s="242">
        <v>1.9928999999999999</v>
      </c>
      <c r="F7" s="151">
        <v>10.15</v>
      </c>
      <c r="G7" s="151">
        <f t="shared" si="0"/>
        <v>20.23</v>
      </c>
    </row>
    <row r="8" spans="1:7" ht="23.25" x14ac:dyDescent="0.25">
      <c r="A8" s="148" t="s">
        <v>18</v>
      </c>
      <c r="B8" s="148" t="s">
        <v>232</v>
      </c>
      <c r="C8" s="149" t="s">
        <v>250</v>
      </c>
      <c r="D8" s="150" t="s">
        <v>248</v>
      </c>
      <c r="E8" s="242">
        <v>4.9700000000000001E-2</v>
      </c>
      <c r="F8" s="151">
        <v>1079.18</v>
      </c>
      <c r="G8" s="151">
        <f t="shared" si="0"/>
        <v>53.64</v>
      </c>
    </row>
    <row r="9" spans="1:7" ht="34.5" x14ac:dyDescent="0.25">
      <c r="A9" s="148" t="s">
        <v>18</v>
      </c>
      <c r="B9" s="148" t="s">
        <v>233</v>
      </c>
      <c r="C9" s="149" t="s">
        <v>251</v>
      </c>
      <c r="D9" s="150" t="s">
        <v>248</v>
      </c>
      <c r="E9" s="242">
        <v>0.15609999999999999</v>
      </c>
      <c r="F9" s="151">
        <v>603.11</v>
      </c>
      <c r="G9" s="151">
        <f t="shared" si="0"/>
        <v>94.15</v>
      </c>
    </row>
    <row r="10" spans="1:7" x14ac:dyDescent="0.25">
      <c r="A10" s="144" t="s">
        <v>18</v>
      </c>
      <c r="B10" s="144" t="s">
        <v>29</v>
      </c>
      <c r="C10" s="149" t="s">
        <v>30</v>
      </c>
      <c r="D10" s="150" t="s">
        <v>101</v>
      </c>
      <c r="E10" s="242">
        <v>5.3808999999999996</v>
      </c>
      <c r="F10" s="151">
        <v>22.64</v>
      </c>
      <c r="G10" s="151">
        <f t="shared" si="0"/>
        <v>121.82</v>
      </c>
    </row>
    <row r="11" spans="1:7" x14ac:dyDescent="0.25">
      <c r="A11" s="148" t="s">
        <v>18</v>
      </c>
      <c r="B11" s="148" t="s">
        <v>102</v>
      </c>
      <c r="C11" s="149" t="s">
        <v>100</v>
      </c>
      <c r="D11" s="150" t="s">
        <v>101</v>
      </c>
      <c r="E11" s="242">
        <v>6.84</v>
      </c>
      <c r="F11" s="151">
        <v>31.21</v>
      </c>
      <c r="G11" s="151">
        <f t="shared" si="0"/>
        <v>213.48</v>
      </c>
    </row>
    <row r="12" spans="1:7" ht="34.5" x14ac:dyDescent="0.25">
      <c r="A12" s="148" t="s">
        <v>18</v>
      </c>
      <c r="B12" s="148" t="s">
        <v>234</v>
      </c>
      <c r="C12" s="149" t="s">
        <v>252</v>
      </c>
      <c r="D12" s="150" t="s">
        <v>248</v>
      </c>
      <c r="E12" s="242">
        <v>2.9000000000000001E-2</v>
      </c>
      <c r="F12" s="151">
        <v>526.16999999999996</v>
      </c>
      <c r="G12" s="151">
        <f t="shared" si="0"/>
        <v>15.26</v>
      </c>
    </row>
    <row r="13" spans="1:7" ht="23.25" x14ac:dyDescent="0.25">
      <c r="A13" s="148" t="s">
        <v>235</v>
      </c>
      <c r="B13" s="148" t="s">
        <v>236</v>
      </c>
      <c r="C13" s="149" t="s">
        <v>253</v>
      </c>
      <c r="D13" s="150" t="s">
        <v>136</v>
      </c>
      <c r="E13" s="242">
        <v>32</v>
      </c>
      <c r="F13" s="151">
        <v>5.62</v>
      </c>
      <c r="G13" s="151">
        <f t="shared" si="0"/>
        <v>179.84</v>
      </c>
    </row>
    <row r="14" spans="1:7" ht="34.5" x14ac:dyDescent="0.25">
      <c r="A14" s="144" t="s">
        <v>235</v>
      </c>
      <c r="B14" s="144" t="s">
        <v>237</v>
      </c>
      <c r="C14" s="149" t="s">
        <v>254</v>
      </c>
      <c r="D14" s="150" t="s">
        <v>255</v>
      </c>
      <c r="E14" s="242">
        <v>0.58799999999999997</v>
      </c>
      <c r="F14" s="151">
        <v>25.41</v>
      </c>
      <c r="G14" s="151">
        <f t="shared" si="0"/>
        <v>14.94</v>
      </c>
    </row>
    <row r="15" spans="1:7" ht="57" x14ac:dyDescent="0.25">
      <c r="A15" s="148" t="s">
        <v>18</v>
      </c>
      <c r="B15" s="148" t="s">
        <v>238</v>
      </c>
      <c r="C15" s="149" t="s">
        <v>256</v>
      </c>
      <c r="D15" s="150" t="s">
        <v>99</v>
      </c>
      <c r="E15" s="242">
        <v>0.5</v>
      </c>
      <c r="F15" s="151">
        <v>74.010000000000005</v>
      </c>
      <c r="G15" s="151">
        <f t="shared" si="0"/>
        <v>37.01</v>
      </c>
    </row>
    <row r="16" spans="1:7" ht="57" x14ac:dyDescent="0.25">
      <c r="A16" s="148" t="s">
        <v>18</v>
      </c>
      <c r="B16" s="148" t="s">
        <v>239</v>
      </c>
      <c r="C16" s="149" t="s">
        <v>257</v>
      </c>
      <c r="D16" s="150" t="s">
        <v>98</v>
      </c>
      <c r="E16" s="242">
        <v>0.5</v>
      </c>
      <c r="F16" s="151">
        <v>158.52000000000001</v>
      </c>
      <c r="G16" s="151">
        <f t="shared" si="0"/>
        <v>79.260000000000005</v>
      </c>
    </row>
    <row r="17" spans="1:7" x14ac:dyDescent="0.25">
      <c r="A17" s="148" t="s">
        <v>235</v>
      </c>
      <c r="B17" s="148" t="s">
        <v>240</v>
      </c>
      <c r="C17" s="149" t="s">
        <v>258</v>
      </c>
      <c r="D17" s="150" t="s">
        <v>97</v>
      </c>
      <c r="E17" s="242">
        <v>1.66E-2</v>
      </c>
      <c r="F17" s="151">
        <v>18.600000000000001</v>
      </c>
      <c r="G17" s="151">
        <f t="shared" si="0"/>
        <v>0.31</v>
      </c>
    </row>
    <row r="18" spans="1:7" ht="23.25" x14ac:dyDescent="0.25">
      <c r="A18" s="148" t="s">
        <v>235</v>
      </c>
      <c r="B18" s="148" t="s">
        <v>241</v>
      </c>
      <c r="C18" s="149" t="s">
        <v>259</v>
      </c>
      <c r="D18" s="150" t="s">
        <v>255</v>
      </c>
      <c r="E18" s="242">
        <v>0.18740000000000001</v>
      </c>
      <c r="F18" s="151">
        <v>2.92</v>
      </c>
      <c r="G18" s="151">
        <f t="shared" si="0"/>
        <v>0.55000000000000004</v>
      </c>
    </row>
    <row r="19" spans="1:7" ht="23.25" x14ac:dyDescent="0.25">
      <c r="A19" s="148" t="s">
        <v>235</v>
      </c>
      <c r="B19" s="144" t="s">
        <v>242</v>
      </c>
      <c r="C19" s="149" t="s">
        <v>260</v>
      </c>
      <c r="D19" s="150" t="s">
        <v>255</v>
      </c>
      <c r="E19" s="242">
        <v>0.15759999999999999</v>
      </c>
      <c r="F19" s="151">
        <v>8.36</v>
      </c>
      <c r="G19" s="151">
        <f t="shared" si="0"/>
        <v>1.32</v>
      </c>
    </row>
    <row r="20" spans="1:7" ht="23.25" x14ac:dyDescent="0.25">
      <c r="A20" s="148" t="s">
        <v>235</v>
      </c>
      <c r="B20" s="209" t="s">
        <v>243</v>
      </c>
      <c r="C20" s="149" t="s">
        <v>261</v>
      </c>
      <c r="D20" s="150" t="s">
        <v>22</v>
      </c>
      <c r="E20" s="242">
        <v>7.1999999999999998E-3</v>
      </c>
      <c r="F20" s="151">
        <v>6.15</v>
      </c>
      <c r="G20" s="151">
        <f t="shared" si="0"/>
        <v>0.04</v>
      </c>
    </row>
    <row r="21" spans="1:7" ht="23.25" x14ac:dyDescent="0.25">
      <c r="A21" s="148" t="s">
        <v>235</v>
      </c>
      <c r="B21" s="209" t="s">
        <v>244</v>
      </c>
      <c r="C21" s="149" t="s">
        <v>262</v>
      </c>
      <c r="D21" s="150" t="s">
        <v>136</v>
      </c>
      <c r="E21" s="245">
        <v>16.850000000000001</v>
      </c>
      <c r="F21" s="151">
        <v>3.49</v>
      </c>
      <c r="G21" s="151">
        <f t="shared" si="0"/>
        <v>58.81</v>
      </c>
    </row>
    <row r="22" spans="1:7" x14ac:dyDescent="0.25">
      <c r="A22" s="247" t="s">
        <v>96</v>
      </c>
      <c r="B22" s="247" t="s">
        <v>32</v>
      </c>
      <c r="C22" s="248" t="s">
        <v>263</v>
      </c>
      <c r="D22" s="247" t="s">
        <v>136</v>
      </c>
      <c r="E22" s="246"/>
      <c r="F22" s="246"/>
      <c r="G22" s="251">
        <f>SUM(G23:G26)</f>
        <v>134.79</v>
      </c>
    </row>
    <row r="23" spans="1:7" ht="34.5" x14ac:dyDescent="0.25">
      <c r="A23" s="249" t="s">
        <v>18</v>
      </c>
      <c r="B23" s="249" t="s">
        <v>264</v>
      </c>
      <c r="C23" s="240" t="s">
        <v>266</v>
      </c>
      <c r="D23" s="241" t="s">
        <v>97</v>
      </c>
      <c r="E23" s="242">
        <v>2.722</v>
      </c>
      <c r="F23" s="241">
        <v>13.85</v>
      </c>
      <c r="G23" s="151">
        <f>E23*F23</f>
        <v>37.700000000000003</v>
      </c>
    </row>
    <row r="24" spans="1:7" ht="34.5" x14ac:dyDescent="0.25">
      <c r="A24" s="249" t="s">
        <v>18</v>
      </c>
      <c r="B24" s="249" t="s">
        <v>265</v>
      </c>
      <c r="C24" s="240" t="s">
        <v>103</v>
      </c>
      <c r="D24" s="241" t="s">
        <v>248</v>
      </c>
      <c r="E24" s="242">
        <v>0.08</v>
      </c>
      <c r="F24" s="241">
        <v>540.54</v>
      </c>
      <c r="G24" s="151">
        <f t="shared" ref="G24:G26" si="1">E24*F24</f>
        <v>43.24</v>
      </c>
    </row>
    <row r="25" spans="1:7" x14ac:dyDescent="0.25">
      <c r="A25" s="250" t="s">
        <v>18</v>
      </c>
      <c r="B25" s="250" t="s">
        <v>102</v>
      </c>
      <c r="C25" s="243" t="s">
        <v>100</v>
      </c>
      <c r="D25" s="244" t="s">
        <v>101</v>
      </c>
      <c r="E25" s="245">
        <v>1</v>
      </c>
      <c r="F25" s="244">
        <v>31.21</v>
      </c>
      <c r="G25" s="151">
        <f t="shared" si="1"/>
        <v>31.21</v>
      </c>
    </row>
    <row r="26" spans="1:7" x14ac:dyDescent="0.25">
      <c r="A26" s="249" t="s">
        <v>18</v>
      </c>
      <c r="B26" s="249" t="s">
        <v>29</v>
      </c>
      <c r="C26" s="240" t="s">
        <v>30</v>
      </c>
      <c r="D26" s="241" t="s">
        <v>101</v>
      </c>
      <c r="E26" s="242">
        <v>1</v>
      </c>
      <c r="F26" s="241">
        <v>22.64</v>
      </c>
      <c r="G26" s="151">
        <f t="shared" si="1"/>
        <v>22.64</v>
      </c>
    </row>
    <row r="27" spans="1:7" ht="23.25" x14ac:dyDescent="0.25">
      <c r="A27" s="247" t="s">
        <v>96</v>
      </c>
      <c r="B27" s="247" t="s">
        <v>293</v>
      </c>
      <c r="C27" s="248" t="s">
        <v>292</v>
      </c>
      <c r="D27" s="247" t="s">
        <v>136</v>
      </c>
      <c r="E27" s="246"/>
      <c r="F27" s="246"/>
      <c r="G27" s="251">
        <f>SUM(G28:G32)</f>
        <v>53.18</v>
      </c>
    </row>
    <row r="28" spans="1:7" ht="23.25" x14ac:dyDescent="0.25">
      <c r="A28" s="249" t="s">
        <v>235</v>
      </c>
      <c r="B28" s="249" t="s">
        <v>302</v>
      </c>
      <c r="C28" s="240" t="s">
        <v>294</v>
      </c>
      <c r="D28" s="241" t="s">
        <v>248</v>
      </c>
      <c r="E28" s="242">
        <v>0.14399999999999999</v>
      </c>
      <c r="F28" s="241">
        <v>131.69</v>
      </c>
      <c r="G28" s="151">
        <f>E28*F28</f>
        <v>18.96</v>
      </c>
    </row>
    <row r="29" spans="1:7" x14ac:dyDescent="0.25">
      <c r="A29" s="249" t="s">
        <v>235</v>
      </c>
      <c r="B29" s="249" t="s">
        <v>301</v>
      </c>
      <c r="C29" s="240" t="s">
        <v>295</v>
      </c>
      <c r="D29" s="241" t="s">
        <v>248</v>
      </c>
      <c r="E29" s="242">
        <v>4.3999999999999997E-2</v>
      </c>
      <c r="F29" s="241">
        <v>122.09</v>
      </c>
      <c r="G29" s="151">
        <f t="shared" ref="G29:G31" si="2">E29*F29</f>
        <v>5.37</v>
      </c>
    </row>
    <row r="30" spans="1:7" ht="45.75" x14ac:dyDescent="0.25">
      <c r="A30" s="250" t="s">
        <v>18</v>
      </c>
      <c r="B30" s="250" t="s">
        <v>300</v>
      </c>
      <c r="C30" s="243" t="s">
        <v>296</v>
      </c>
      <c r="D30" s="244" t="s">
        <v>248</v>
      </c>
      <c r="E30" s="245">
        <v>0.11899999999999999</v>
      </c>
      <c r="F30" s="244">
        <v>140.16999999999999</v>
      </c>
      <c r="G30" s="151">
        <f t="shared" si="2"/>
        <v>16.68</v>
      </c>
    </row>
    <row r="31" spans="1:7" x14ac:dyDescent="0.25">
      <c r="A31" s="249" t="s">
        <v>18</v>
      </c>
      <c r="B31" s="249" t="s">
        <v>299</v>
      </c>
      <c r="C31" s="240" t="s">
        <v>297</v>
      </c>
      <c r="D31" s="241" t="s">
        <v>101</v>
      </c>
      <c r="E31" s="242">
        <v>0.26090000000000002</v>
      </c>
      <c r="F31" s="241">
        <v>23.98</v>
      </c>
      <c r="G31" s="151">
        <f t="shared" si="2"/>
        <v>6.26</v>
      </c>
    </row>
    <row r="32" spans="1:7" x14ac:dyDescent="0.25">
      <c r="A32" s="249" t="s">
        <v>18</v>
      </c>
      <c r="B32" s="249" t="s">
        <v>29</v>
      </c>
      <c r="C32" s="240" t="s">
        <v>30</v>
      </c>
      <c r="D32" s="241" t="s">
        <v>101</v>
      </c>
      <c r="E32" s="242">
        <v>0.26090000000000002</v>
      </c>
      <c r="F32" s="241">
        <v>22.64</v>
      </c>
      <c r="G32" s="151">
        <f t="shared" ref="G32" si="3">E32*F32</f>
        <v>5.91</v>
      </c>
    </row>
    <row r="33" spans="3:3" x14ac:dyDescent="0.25">
      <c r="C33" s="396" t="s">
        <v>298</v>
      </c>
    </row>
  </sheetData>
  <mergeCells count="1">
    <mergeCell ref="A1:G2"/>
  </mergeCells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8C1D1-9E09-48AC-870E-C745947AE9A6}">
  <dimension ref="A1:U95"/>
  <sheetViews>
    <sheetView zoomScaleNormal="100" workbookViewId="0">
      <selection activeCell="D33" sqref="D33"/>
    </sheetView>
  </sheetViews>
  <sheetFormatPr defaultRowHeight="15" x14ac:dyDescent="0.25"/>
  <cols>
    <col min="2" max="2" width="11" bestFit="1" customWidth="1"/>
    <col min="3" max="3" width="12" customWidth="1"/>
    <col min="4" max="4" width="44.5703125" customWidth="1"/>
    <col min="5" max="5" width="7.28515625" customWidth="1"/>
    <col min="6" max="6" width="10.85546875" customWidth="1"/>
    <col min="11" max="11" width="8.140625" customWidth="1"/>
    <col min="14" max="14" width="9.5703125" bestFit="1" customWidth="1"/>
  </cols>
  <sheetData>
    <row r="1" spans="1:12" x14ac:dyDescent="0.25">
      <c r="A1" s="1"/>
      <c r="B1" s="2"/>
      <c r="C1" s="3"/>
      <c r="D1" s="4"/>
      <c r="E1" s="2"/>
      <c r="F1" s="5"/>
      <c r="G1" s="5"/>
      <c r="H1" s="5"/>
      <c r="I1" s="5"/>
      <c r="J1" s="5"/>
      <c r="K1" s="5"/>
      <c r="L1" s="6"/>
    </row>
    <row r="2" spans="1:12" ht="21" x14ac:dyDescent="0.35">
      <c r="A2" s="268" t="str">
        <f>BDI!A2</f>
        <v>timbrado empresa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70"/>
    </row>
    <row r="3" spans="1:12" x14ac:dyDescent="0.25">
      <c r="A3" s="271">
        <f>BDI!A3</f>
        <v>0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3"/>
    </row>
    <row r="4" spans="1:12" x14ac:dyDescent="0.25">
      <c r="A4" s="274">
        <f>BDI!A4</f>
        <v>0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6"/>
    </row>
    <row r="5" spans="1:12" x14ac:dyDescent="0.25">
      <c r="A5" s="274">
        <f>BDI!A5</f>
        <v>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6"/>
    </row>
    <row r="6" spans="1:12" x14ac:dyDescent="0.25">
      <c r="A6" s="274">
        <f>BDI!A6</f>
        <v>0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6"/>
    </row>
    <row r="7" spans="1:12" ht="15.75" thickBot="1" x14ac:dyDescent="0.3">
      <c r="A7" s="7"/>
      <c r="B7" s="8"/>
      <c r="C7" s="9"/>
      <c r="D7" s="10"/>
      <c r="E7" s="8"/>
      <c r="F7" s="11"/>
      <c r="G7" s="11"/>
      <c r="H7" s="11"/>
      <c r="I7" s="11"/>
      <c r="J7" s="11"/>
      <c r="K7" s="11"/>
      <c r="L7" s="12"/>
    </row>
    <row r="8" spans="1:12" ht="15.75" thickBot="1" x14ac:dyDescent="0.3">
      <c r="A8" s="13"/>
      <c r="B8" s="13"/>
      <c r="C8" s="14"/>
      <c r="D8" s="15"/>
      <c r="E8" s="13"/>
      <c r="F8" s="16"/>
      <c r="G8" s="16"/>
      <c r="H8" s="16"/>
      <c r="I8" s="16"/>
      <c r="J8" s="16"/>
      <c r="K8" s="16"/>
      <c r="L8" s="16"/>
    </row>
    <row r="9" spans="1:12" ht="16.5" thickBot="1" x14ac:dyDescent="0.3">
      <c r="A9" s="265" t="s">
        <v>23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7"/>
    </row>
    <row r="10" spans="1:12" ht="15.75" thickBot="1" x14ac:dyDescent="0.3">
      <c r="A10" s="259"/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</row>
    <row r="11" spans="1:12" ht="15.75" thickBot="1" x14ac:dyDescent="0.3">
      <c r="A11" s="289" t="str">
        <f>'Planilha orçamentária'!A11</f>
        <v>CONVENENTE: DESTERRO DO MELO-MG</v>
      </c>
      <c r="B11" s="290"/>
      <c r="C11" s="290"/>
      <c r="D11" s="290"/>
      <c r="E11" s="290"/>
      <c r="F11" s="290"/>
      <c r="G11" s="260"/>
      <c r="H11" s="261"/>
      <c r="I11" s="261"/>
      <c r="J11" s="261"/>
      <c r="K11" s="261"/>
      <c r="L11" s="262"/>
    </row>
    <row r="12" spans="1:12" ht="15.75" thickBot="1" x14ac:dyDescent="0.3">
      <c r="A12" s="289" t="str">
        <f>'Planilha orçamentária'!A12</f>
        <v>OBJETO: CALÇAMENTO DE VIAS RURAIS</v>
      </c>
      <c r="B12" s="290"/>
      <c r="C12" s="290"/>
      <c r="D12" s="290"/>
      <c r="E12" s="290"/>
      <c r="F12" s="290"/>
      <c r="G12" s="21"/>
      <c r="H12" s="22"/>
      <c r="I12" s="22"/>
      <c r="J12" s="22"/>
      <c r="K12" s="22"/>
      <c r="L12" s="23"/>
    </row>
    <row r="13" spans="1:12" ht="15.75" thickBot="1" x14ac:dyDescent="0.3">
      <c r="A13" s="289" t="str">
        <f>'Planilha orçamentária'!A13</f>
        <v>LOCAL:  MORRO DO JOÃO SAPO, TITO II, MORRO DO JOILSON E DO FÉLIX</v>
      </c>
      <c r="B13" s="290"/>
      <c r="C13" s="290"/>
      <c r="D13" s="290"/>
      <c r="E13" s="290"/>
      <c r="F13" s="290"/>
      <c r="G13" s="66" t="str">
        <f>'Planilha orçamentária'!G13</f>
        <v>DATA: 22/04/2025</v>
      </c>
      <c r="H13" s="21"/>
      <c r="I13" s="337"/>
      <c r="J13" s="338"/>
      <c r="K13" s="338"/>
      <c r="L13" s="339"/>
    </row>
    <row r="14" spans="1:12" ht="15.75" thickBot="1" x14ac:dyDescent="0.3">
      <c r="A14" s="289" t="str">
        <f>'Planilha orçamentária'!A14</f>
        <v xml:space="preserve">REFERÊNCIA:  SINAPI-MG 03/2025, SICOR-MG 01/2025 </v>
      </c>
      <c r="B14" s="290"/>
      <c r="C14" s="290"/>
      <c r="D14" s="290"/>
      <c r="E14" s="290"/>
      <c r="F14" s="290"/>
      <c r="G14" s="21" t="str">
        <f>'Planilha orçamentária'!G14</f>
        <v xml:space="preserve">FORMA DE EXECUÇÃO: </v>
      </c>
      <c r="H14" s="22"/>
      <c r="I14" s="22"/>
      <c r="J14" s="22"/>
      <c r="K14" s="22"/>
      <c r="L14" s="23"/>
    </row>
    <row r="15" spans="1:12" ht="15.75" thickBot="1" x14ac:dyDescent="0.3">
      <c r="A15" s="289" t="str">
        <f>'Planilha orçamentária'!A15</f>
        <v xml:space="preserve">R. T. </v>
      </c>
      <c r="B15" s="290"/>
      <c r="C15" s="290"/>
      <c r="D15" s="290"/>
      <c r="E15" s="290"/>
      <c r="F15" s="290"/>
      <c r="G15" s="26" t="str">
        <f>'Planilha orçamentária'!G15</f>
        <v>( X )</v>
      </c>
      <c r="H15" s="346" t="str">
        <f>'Planilha orçamentária'!H15</f>
        <v>INDIRETA</v>
      </c>
      <c r="I15" s="346"/>
      <c r="J15" s="346"/>
      <c r="K15" s="346"/>
      <c r="L15" s="347"/>
    </row>
    <row r="16" spans="1:12" ht="15.75" thickBot="1" x14ac:dyDescent="0.3">
      <c r="A16" s="289" t="str">
        <f>'Planilha orçamentária'!A16</f>
        <v>PRAZO DE EXECUÇÃO: 4 (QUATRO) MESES</v>
      </c>
      <c r="B16" s="290"/>
      <c r="C16" s="290"/>
      <c r="D16" s="290"/>
      <c r="E16" s="290"/>
      <c r="F16" s="290"/>
      <c r="G16" s="29" t="str">
        <f>'Planilha orçamentária'!G16</f>
        <v>BDI</v>
      </c>
      <c r="H16" s="348">
        <f>'Planilha orçamentária'!I16</f>
        <v>0.21510000000000001</v>
      </c>
      <c r="I16" s="348"/>
      <c r="J16" s="348"/>
      <c r="K16" s="348"/>
      <c r="L16" s="349"/>
    </row>
    <row r="17" spans="1:21" ht="15.75" thickBot="1" x14ac:dyDescent="0.3">
      <c r="A17" s="263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</row>
    <row r="18" spans="1:21" ht="15.75" thickBot="1" x14ac:dyDescent="0.3">
      <c r="A18" s="33" t="s">
        <v>4</v>
      </c>
      <c r="B18" s="67" t="s">
        <v>5</v>
      </c>
      <c r="C18" s="67" t="s">
        <v>6</v>
      </c>
      <c r="D18" s="68" t="s">
        <v>7</v>
      </c>
      <c r="E18" s="35" t="s">
        <v>8</v>
      </c>
      <c r="F18" s="33" t="s">
        <v>25</v>
      </c>
      <c r="G18" s="343" t="s">
        <v>26</v>
      </c>
      <c r="H18" s="344"/>
      <c r="I18" s="344"/>
      <c r="J18" s="344"/>
      <c r="K18" s="344"/>
      <c r="L18" s="345"/>
    </row>
    <row r="19" spans="1:21" x14ac:dyDescent="0.25">
      <c r="A19" s="70"/>
      <c r="B19" s="70"/>
      <c r="C19" s="70"/>
      <c r="D19" s="70"/>
      <c r="E19" s="71"/>
      <c r="F19" s="70"/>
      <c r="G19" s="350"/>
      <c r="H19" s="351"/>
      <c r="I19" s="351"/>
      <c r="J19" s="351"/>
      <c r="K19" s="351"/>
      <c r="L19" s="352"/>
    </row>
    <row r="20" spans="1:21" x14ac:dyDescent="0.25">
      <c r="A20" s="223" t="s">
        <v>106</v>
      </c>
      <c r="B20" s="224"/>
      <c r="C20" s="224"/>
      <c r="D20" s="225" t="s">
        <v>122</v>
      </c>
      <c r="E20" s="226"/>
      <c r="F20" s="226"/>
      <c r="G20" s="340"/>
      <c r="H20" s="341"/>
      <c r="I20" s="341"/>
      <c r="J20" s="341"/>
      <c r="K20" s="341"/>
      <c r="L20" s="342"/>
      <c r="P20" s="330" t="s">
        <v>28</v>
      </c>
      <c r="Q20" s="333"/>
      <c r="R20" s="333"/>
      <c r="S20" s="333"/>
      <c r="T20" s="333"/>
      <c r="U20" s="334"/>
    </row>
    <row r="21" spans="1:21" x14ac:dyDescent="0.25">
      <c r="A21" s="48" t="s">
        <v>13</v>
      </c>
      <c r="B21" s="49"/>
      <c r="C21" s="49"/>
      <c r="D21" s="50" t="s">
        <v>95</v>
      </c>
      <c r="E21" s="51"/>
      <c r="F21" s="52"/>
      <c r="G21" s="327"/>
      <c r="H21" s="328"/>
      <c r="I21" s="328"/>
      <c r="J21" s="328"/>
      <c r="K21" s="328"/>
      <c r="L21" s="329"/>
      <c r="P21" s="330" t="s">
        <v>92</v>
      </c>
      <c r="Q21" s="333"/>
      <c r="R21" s="333"/>
      <c r="S21" s="333"/>
      <c r="T21" s="333"/>
      <c r="U21" s="334"/>
    </row>
    <row r="22" spans="1:21" ht="38.25" x14ac:dyDescent="0.25">
      <c r="A22" s="55" t="s">
        <v>13</v>
      </c>
      <c r="B22" s="56" t="s">
        <v>121</v>
      </c>
      <c r="C22" s="57" t="s">
        <v>18</v>
      </c>
      <c r="D22" s="58" t="s">
        <v>120</v>
      </c>
      <c r="E22" s="59" t="s">
        <v>14</v>
      </c>
      <c r="F22" s="60">
        <f>1.2*2.4</f>
        <v>2.88</v>
      </c>
      <c r="G22" s="330" t="s">
        <v>197</v>
      </c>
      <c r="H22" s="331"/>
      <c r="I22" s="331"/>
      <c r="J22" s="331"/>
      <c r="K22" s="331"/>
      <c r="L22" s="332"/>
      <c r="N22" s="65"/>
      <c r="P22" s="219"/>
      <c r="Q22" s="220"/>
      <c r="R22" s="220"/>
      <c r="S22" s="220"/>
      <c r="T22" s="220"/>
      <c r="U22" s="220"/>
    </row>
    <row r="23" spans="1:21" x14ac:dyDescent="0.25">
      <c r="A23" s="48" t="s">
        <v>16</v>
      </c>
      <c r="B23" s="49"/>
      <c r="C23" s="49"/>
      <c r="D23" s="50" t="s">
        <v>123</v>
      </c>
      <c r="E23" s="51"/>
      <c r="F23" s="51"/>
      <c r="G23" s="327"/>
      <c r="H23" s="328"/>
      <c r="I23" s="328"/>
      <c r="J23" s="328"/>
      <c r="K23" s="328"/>
      <c r="L23" s="329"/>
      <c r="N23" s="65"/>
      <c r="P23" s="219"/>
      <c r="Q23" s="220"/>
      <c r="R23" s="220"/>
      <c r="S23" s="220"/>
      <c r="T23" s="220"/>
      <c r="U23" s="220"/>
    </row>
    <row r="24" spans="1:21" ht="63.75" x14ac:dyDescent="0.25">
      <c r="A24" s="55"/>
      <c r="B24" s="56">
        <v>95565</v>
      </c>
      <c r="C24" s="56" t="s">
        <v>18</v>
      </c>
      <c r="D24" s="58" t="s">
        <v>267</v>
      </c>
      <c r="E24" s="59" t="s">
        <v>14</v>
      </c>
      <c r="F24" s="60">
        <v>6</v>
      </c>
      <c r="G24" s="330" t="s">
        <v>218</v>
      </c>
      <c r="H24" s="331"/>
      <c r="I24" s="331"/>
      <c r="J24" s="331"/>
      <c r="K24" s="331"/>
      <c r="L24" s="332"/>
      <c r="N24" s="65"/>
      <c r="P24" s="219"/>
      <c r="Q24" s="220"/>
      <c r="R24" s="220"/>
      <c r="S24" s="220"/>
      <c r="T24" s="220"/>
      <c r="U24" s="220"/>
    </row>
    <row r="25" spans="1:21" ht="63.75" x14ac:dyDescent="0.25">
      <c r="A25" s="55" t="s">
        <v>152</v>
      </c>
      <c r="B25" s="56" t="s">
        <v>125</v>
      </c>
      <c r="C25" s="57" t="s">
        <v>18</v>
      </c>
      <c r="D25" s="58" t="s">
        <v>124</v>
      </c>
      <c r="E25" s="59" t="s">
        <v>21</v>
      </c>
      <c r="F25" s="60">
        <v>12.35</v>
      </c>
      <c r="G25" s="330" t="s">
        <v>270</v>
      </c>
      <c r="H25" s="331"/>
      <c r="I25" s="331"/>
      <c r="J25" s="331"/>
      <c r="K25" s="331"/>
      <c r="L25" s="332"/>
      <c r="N25" s="65"/>
      <c r="P25" s="219"/>
      <c r="Q25" s="220"/>
      <c r="R25" s="220"/>
      <c r="S25" s="220"/>
      <c r="T25" s="220"/>
      <c r="U25" s="220"/>
    </row>
    <row r="26" spans="1:21" ht="41.25" customHeight="1" x14ac:dyDescent="0.25">
      <c r="A26" s="55" t="s">
        <v>153</v>
      </c>
      <c r="B26" s="56" t="s">
        <v>127</v>
      </c>
      <c r="C26" s="57" t="s">
        <v>18</v>
      </c>
      <c r="D26" s="58" t="s">
        <v>126</v>
      </c>
      <c r="E26" s="59" t="s">
        <v>20</v>
      </c>
      <c r="F26" s="60">
        <f>(6+12.35)*1*0.75</f>
        <v>13.76</v>
      </c>
      <c r="G26" s="318" t="s">
        <v>271</v>
      </c>
      <c r="H26" s="319"/>
      <c r="I26" s="319"/>
      <c r="J26" s="319"/>
      <c r="K26" s="319"/>
      <c r="L26" s="320"/>
    </row>
    <row r="27" spans="1:21" ht="76.5" x14ac:dyDescent="0.25">
      <c r="A27" s="55" t="s">
        <v>154</v>
      </c>
      <c r="B27" s="56" t="s">
        <v>128</v>
      </c>
      <c r="C27" s="57" t="s">
        <v>18</v>
      </c>
      <c r="D27" s="58" t="s">
        <v>129</v>
      </c>
      <c r="E27" s="59" t="s">
        <v>20</v>
      </c>
      <c r="F27" s="60">
        <f xml:space="preserve"> (6+12.35)*1*0.75-(3.14*0.2*0.2*12.35+3.14*0.15*0.15*6)</f>
        <v>11.79</v>
      </c>
      <c r="G27" s="318" t="s">
        <v>272</v>
      </c>
      <c r="H27" s="319"/>
      <c r="I27" s="319"/>
      <c r="J27" s="319"/>
      <c r="K27" s="319"/>
      <c r="L27" s="320"/>
    </row>
    <row r="28" spans="1:21" ht="63.75" x14ac:dyDescent="0.25">
      <c r="A28" s="55" t="s">
        <v>155</v>
      </c>
      <c r="B28" s="56" t="s">
        <v>130</v>
      </c>
      <c r="C28" s="57" t="s">
        <v>18</v>
      </c>
      <c r="D28" s="58" t="s">
        <v>131</v>
      </c>
      <c r="E28" s="59" t="s">
        <v>21</v>
      </c>
      <c r="F28" s="60">
        <f>4.84+4.32+1.94+1.62+7.3+17.29+16.84+15.52+16.24+4.17+4.22+8.34+8.34+4.99+4.92+20.57+20.82+13.55+1.92+8.01+2.45+6.5+5.07+5.77+4.15+5.03+5.09+5.1+11.01+11.81+27.18+14.72</f>
        <v>289.64</v>
      </c>
      <c r="G28" s="318" t="s">
        <v>276</v>
      </c>
      <c r="H28" s="335"/>
      <c r="I28" s="335"/>
      <c r="J28" s="335"/>
      <c r="K28" s="335"/>
      <c r="L28" s="336"/>
    </row>
    <row r="29" spans="1:21" ht="38.25" x14ac:dyDescent="0.25">
      <c r="A29" s="55" t="s">
        <v>156</v>
      </c>
      <c r="B29" s="56" t="s">
        <v>105</v>
      </c>
      <c r="C29" s="57" t="s">
        <v>18</v>
      </c>
      <c r="D29" s="58" t="s">
        <v>104</v>
      </c>
      <c r="E29" s="59" t="s">
        <v>21</v>
      </c>
      <c r="F29" s="60">
        <f>289.64-(4.84+4.32+1.94+1.62)</f>
        <v>276.92</v>
      </c>
      <c r="G29" s="330" t="s">
        <v>277</v>
      </c>
      <c r="H29" s="333"/>
      <c r="I29" s="333"/>
      <c r="J29" s="333"/>
      <c r="K29" s="333"/>
      <c r="L29" s="334"/>
    </row>
    <row r="30" spans="1:21" x14ac:dyDescent="0.25">
      <c r="A30" s="55" t="s">
        <v>157</v>
      </c>
      <c r="B30" s="56" t="s">
        <v>31</v>
      </c>
      <c r="C30" s="57" t="s">
        <v>89</v>
      </c>
      <c r="D30" s="58" t="s">
        <v>132</v>
      </c>
      <c r="E30" s="59" t="s">
        <v>15</v>
      </c>
      <c r="F30" s="60">
        <v>1</v>
      </c>
      <c r="G30" s="330">
        <v>1</v>
      </c>
      <c r="H30" s="333"/>
      <c r="I30" s="333"/>
      <c r="J30" s="333"/>
      <c r="K30" s="333"/>
      <c r="L30" s="334"/>
    </row>
    <row r="31" spans="1:21" x14ac:dyDescent="0.25">
      <c r="A31" s="55" t="s">
        <v>158</v>
      </c>
      <c r="B31" s="56" t="s">
        <v>32</v>
      </c>
      <c r="C31" s="57" t="s">
        <v>89</v>
      </c>
      <c r="D31" s="58" t="s">
        <v>133</v>
      </c>
      <c r="E31" s="59" t="s">
        <v>15</v>
      </c>
      <c r="F31" s="60">
        <v>1</v>
      </c>
      <c r="G31" s="330">
        <v>1</v>
      </c>
      <c r="H31" s="333"/>
      <c r="I31" s="333"/>
      <c r="J31" s="333"/>
      <c r="K31" s="333"/>
      <c r="L31" s="334"/>
    </row>
    <row r="32" spans="1:21" ht="38.25" x14ac:dyDescent="0.25">
      <c r="A32" s="55" t="s">
        <v>159</v>
      </c>
      <c r="B32" s="56" t="s">
        <v>135</v>
      </c>
      <c r="C32" s="57" t="s">
        <v>18</v>
      </c>
      <c r="D32" s="58" t="s">
        <v>134</v>
      </c>
      <c r="E32" s="59" t="s">
        <v>15</v>
      </c>
      <c r="F32" s="221">
        <v>1</v>
      </c>
      <c r="G32" s="318">
        <v>1</v>
      </c>
      <c r="H32" s="319"/>
      <c r="I32" s="319"/>
      <c r="J32" s="319"/>
      <c r="K32" s="319"/>
      <c r="L32" s="320"/>
    </row>
    <row r="33" spans="1:12" ht="51" x14ac:dyDescent="0.25">
      <c r="A33" s="55" t="s">
        <v>160</v>
      </c>
      <c r="B33" s="56" t="s">
        <v>138</v>
      </c>
      <c r="C33" s="57" t="s">
        <v>18</v>
      </c>
      <c r="D33" s="58" t="s">
        <v>139</v>
      </c>
      <c r="E33" s="59" t="s">
        <v>20</v>
      </c>
      <c r="F33" s="221">
        <f>0.8*0.6*0.2</f>
        <v>0.1</v>
      </c>
      <c r="G33" s="318" t="s">
        <v>273</v>
      </c>
      <c r="H33" s="319"/>
      <c r="I33" s="319"/>
      <c r="J33" s="319"/>
      <c r="K33" s="319"/>
      <c r="L33" s="320"/>
    </row>
    <row r="34" spans="1:12" x14ac:dyDescent="0.25">
      <c r="A34" s="55" t="s">
        <v>161</v>
      </c>
      <c r="B34" s="56" t="s">
        <v>141</v>
      </c>
      <c r="C34" s="57" t="s">
        <v>94</v>
      </c>
      <c r="D34" s="58" t="s">
        <v>140</v>
      </c>
      <c r="E34" s="59" t="s">
        <v>15</v>
      </c>
      <c r="F34" s="221">
        <v>1</v>
      </c>
      <c r="G34" s="318">
        <v>1</v>
      </c>
      <c r="H34" s="319"/>
      <c r="I34" s="319"/>
      <c r="J34" s="319"/>
      <c r="K34" s="319"/>
      <c r="L34" s="320"/>
    </row>
    <row r="35" spans="1:12" ht="15" customHeight="1" x14ac:dyDescent="0.25">
      <c r="A35" s="48" t="s">
        <v>93</v>
      </c>
      <c r="B35" s="49"/>
      <c r="C35" s="49"/>
      <c r="D35" s="50" t="s">
        <v>137</v>
      </c>
      <c r="E35" s="51"/>
      <c r="F35" s="51"/>
      <c r="G35" s="321"/>
      <c r="H35" s="322"/>
      <c r="I35" s="322"/>
      <c r="J35" s="322"/>
      <c r="K35" s="322"/>
      <c r="L35" s="323"/>
    </row>
    <row r="36" spans="1:12" ht="38.25" x14ac:dyDescent="0.25">
      <c r="A36" s="55" t="s">
        <v>162</v>
      </c>
      <c r="B36" s="56" t="s">
        <v>142</v>
      </c>
      <c r="C36" s="57" t="s">
        <v>18</v>
      </c>
      <c r="D36" s="58" t="s">
        <v>146</v>
      </c>
      <c r="E36" s="59" t="s">
        <v>147</v>
      </c>
      <c r="F36" s="221">
        <f>(0.08+0.06+0.02)*775.84*30</f>
        <v>3724.03</v>
      </c>
      <c r="G36" s="318" t="s">
        <v>278</v>
      </c>
      <c r="H36" s="319"/>
      <c r="I36" s="319"/>
      <c r="J36" s="319"/>
      <c r="K36" s="319"/>
      <c r="L36" s="320"/>
    </row>
    <row r="37" spans="1:12" ht="38.25" x14ac:dyDescent="0.25">
      <c r="A37" s="55" t="s">
        <v>163</v>
      </c>
      <c r="B37" s="56" t="s">
        <v>143</v>
      </c>
      <c r="C37" s="57" t="s">
        <v>18</v>
      </c>
      <c r="D37" s="58" t="s">
        <v>148</v>
      </c>
      <c r="E37" s="59" t="s">
        <v>147</v>
      </c>
      <c r="F37" s="221">
        <f>(0.08+0.06+0.02)*(775.84)*13.5</f>
        <v>1675.81</v>
      </c>
      <c r="G37" s="318" t="s">
        <v>279</v>
      </c>
      <c r="H37" s="319"/>
      <c r="I37" s="319"/>
      <c r="J37" s="319"/>
      <c r="K37" s="319"/>
      <c r="L37" s="320"/>
    </row>
    <row r="38" spans="1:12" ht="25.5" customHeight="1" x14ac:dyDescent="0.25">
      <c r="A38" s="55" t="s">
        <v>164</v>
      </c>
      <c r="B38" s="56" t="s">
        <v>144</v>
      </c>
      <c r="C38" s="57" t="s">
        <v>18</v>
      </c>
      <c r="D38" s="58" t="s">
        <v>149</v>
      </c>
      <c r="E38" s="59" t="s">
        <v>14</v>
      </c>
      <c r="F38" s="221">
        <f>775.84</f>
        <v>775.84</v>
      </c>
      <c r="G38" s="318" t="s">
        <v>274</v>
      </c>
      <c r="H38" s="319"/>
      <c r="I38" s="319"/>
      <c r="J38" s="319"/>
      <c r="K38" s="319"/>
      <c r="L38" s="320"/>
    </row>
    <row r="39" spans="1:12" ht="63.75" x14ac:dyDescent="0.25">
      <c r="A39" s="55" t="s">
        <v>165</v>
      </c>
      <c r="B39" s="56" t="s">
        <v>145</v>
      </c>
      <c r="C39" s="57" t="s">
        <v>18</v>
      </c>
      <c r="D39" s="58" t="s">
        <v>150</v>
      </c>
      <c r="E39" s="59" t="s">
        <v>21</v>
      </c>
      <c r="F39" s="221">
        <f>6+6+12.35</f>
        <v>24.35</v>
      </c>
      <c r="G39" s="318" t="s">
        <v>275</v>
      </c>
      <c r="H39" s="319"/>
      <c r="I39" s="319"/>
      <c r="J39" s="319"/>
      <c r="K39" s="319"/>
      <c r="L39" s="320"/>
    </row>
    <row r="40" spans="1:12" ht="15" customHeight="1" x14ac:dyDescent="0.25">
      <c r="A40" s="223">
        <v>2</v>
      </c>
      <c r="B40" s="224"/>
      <c r="C40" s="224"/>
      <c r="D40" s="225" t="s">
        <v>151</v>
      </c>
      <c r="E40" s="226"/>
      <c r="F40" s="226"/>
      <c r="G40" s="324"/>
      <c r="H40" s="325"/>
      <c r="I40" s="325"/>
      <c r="J40" s="325"/>
      <c r="K40" s="325"/>
      <c r="L40" s="326"/>
    </row>
    <row r="41" spans="1:12" ht="15" customHeight="1" x14ac:dyDescent="0.25">
      <c r="A41" s="48" t="s">
        <v>17</v>
      </c>
      <c r="B41" s="49"/>
      <c r="C41" s="49"/>
      <c r="D41" s="50" t="s">
        <v>123</v>
      </c>
      <c r="E41" s="51"/>
      <c r="F41" s="51"/>
      <c r="G41" s="321"/>
      <c r="H41" s="322"/>
      <c r="I41" s="322"/>
      <c r="J41" s="322"/>
      <c r="K41" s="322"/>
      <c r="L41" s="323"/>
    </row>
    <row r="42" spans="1:12" ht="63.75" x14ac:dyDescent="0.25">
      <c r="A42" s="55" t="s">
        <v>166</v>
      </c>
      <c r="B42" s="56" t="s">
        <v>125</v>
      </c>
      <c r="C42" s="57" t="s">
        <v>18</v>
      </c>
      <c r="D42" s="58" t="s">
        <v>124</v>
      </c>
      <c r="E42" s="59" t="s">
        <v>21</v>
      </c>
      <c r="F42" s="221">
        <f>2*7</f>
        <v>14</v>
      </c>
      <c r="G42" s="318" t="s">
        <v>198</v>
      </c>
      <c r="H42" s="319"/>
      <c r="I42" s="319"/>
      <c r="J42" s="319"/>
      <c r="K42" s="319"/>
      <c r="L42" s="320"/>
    </row>
    <row r="43" spans="1:12" ht="26.25" customHeight="1" x14ac:dyDescent="0.25">
      <c r="A43" s="55" t="s">
        <v>167</v>
      </c>
      <c r="B43" s="56" t="s">
        <v>127</v>
      </c>
      <c r="C43" s="57" t="s">
        <v>18</v>
      </c>
      <c r="D43" s="58" t="s">
        <v>126</v>
      </c>
      <c r="E43" s="59" t="s">
        <v>20</v>
      </c>
      <c r="F43" s="221">
        <f>14*1*0.8</f>
        <v>11.2</v>
      </c>
      <c r="G43" s="318" t="s">
        <v>199</v>
      </c>
      <c r="H43" s="319"/>
      <c r="I43" s="319"/>
      <c r="J43" s="319"/>
      <c r="K43" s="319"/>
      <c r="L43" s="320"/>
    </row>
    <row r="44" spans="1:12" ht="76.5" x14ac:dyDescent="0.25">
      <c r="A44" s="55" t="s">
        <v>168</v>
      </c>
      <c r="B44" s="56" t="s">
        <v>128</v>
      </c>
      <c r="C44" s="57" t="s">
        <v>18</v>
      </c>
      <c r="D44" s="58" t="s">
        <v>129</v>
      </c>
      <c r="E44" s="59" t="s">
        <v>20</v>
      </c>
      <c r="F44" s="221">
        <f>F43-3.14*0.2*0.2*14</f>
        <v>9.44</v>
      </c>
      <c r="G44" s="318" t="s">
        <v>200</v>
      </c>
      <c r="H44" s="319"/>
      <c r="I44" s="319"/>
      <c r="J44" s="319"/>
      <c r="K44" s="319"/>
      <c r="L44" s="320"/>
    </row>
    <row r="45" spans="1:12" ht="56.25" customHeight="1" x14ac:dyDescent="0.25">
      <c r="A45" s="55" t="s">
        <v>169</v>
      </c>
      <c r="B45" s="56" t="s">
        <v>130</v>
      </c>
      <c r="C45" s="57" t="s">
        <v>18</v>
      </c>
      <c r="D45" s="58" t="s">
        <v>131</v>
      </c>
      <c r="E45" s="59" t="s">
        <v>21</v>
      </c>
      <c r="F45" s="221">
        <f>(3.53+5.03+7.49+20.63+22.78+3.33+13.26+18.92+15.34+12.19+8.52+10.91+37.35+29.94+19.46+12.7+23.92+18.55+8.71)*2</f>
        <v>585.12</v>
      </c>
      <c r="G45" s="318" t="s">
        <v>201</v>
      </c>
      <c r="H45" s="319"/>
      <c r="I45" s="319"/>
      <c r="J45" s="319"/>
      <c r="K45" s="319"/>
      <c r="L45" s="320"/>
    </row>
    <row r="46" spans="1:12" ht="38.25" x14ac:dyDescent="0.25">
      <c r="A46" s="55" t="s">
        <v>170</v>
      </c>
      <c r="B46" s="56" t="s">
        <v>105</v>
      </c>
      <c r="C46" s="57" t="s">
        <v>18</v>
      </c>
      <c r="D46" s="58" t="s">
        <v>104</v>
      </c>
      <c r="E46" s="59" t="s">
        <v>21</v>
      </c>
      <c r="F46" s="221">
        <f>F45-3.33</f>
        <v>581.79</v>
      </c>
      <c r="G46" s="318" t="s">
        <v>202</v>
      </c>
      <c r="H46" s="319"/>
      <c r="I46" s="319"/>
      <c r="J46" s="319"/>
      <c r="K46" s="319"/>
      <c r="L46" s="320"/>
    </row>
    <row r="47" spans="1:12" ht="37.5" customHeight="1" x14ac:dyDescent="0.25">
      <c r="A47" s="55" t="s">
        <v>171</v>
      </c>
      <c r="B47" s="56" t="s">
        <v>135</v>
      </c>
      <c r="C47" s="57" t="s">
        <v>18</v>
      </c>
      <c r="D47" s="58" t="s">
        <v>134</v>
      </c>
      <c r="E47" s="59" t="s">
        <v>15</v>
      </c>
      <c r="F47" s="221">
        <v>4</v>
      </c>
      <c r="G47" s="318" t="s">
        <v>203</v>
      </c>
      <c r="H47" s="319"/>
      <c r="I47" s="319"/>
      <c r="J47" s="319"/>
      <c r="K47" s="319"/>
      <c r="L47" s="320"/>
    </row>
    <row r="48" spans="1:12" ht="51" x14ac:dyDescent="0.25">
      <c r="A48" s="55" t="s">
        <v>172</v>
      </c>
      <c r="B48" s="56" t="s">
        <v>138</v>
      </c>
      <c r="C48" s="57" t="s">
        <v>18</v>
      </c>
      <c r="D48" s="58" t="s">
        <v>139</v>
      </c>
      <c r="E48" s="59" t="s">
        <v>20</v>
      </c>
      <c r="F48" s="221">
        <f>0.8*0.6*0.2*2</f>
        <v>0.19</v>
      </c>
      <c r="G48" s="318" t="s">
        <v>205</v>
      </c>
      <c r="H48" s="319"/>
      <c r="I48" s="319"/>
      <c r="J48" s="319"/>
      <c r="K48" s="319"/>
      <c r="L48" s="320"/>
    </row>
    <row r="49" spans="1:12" x14ac:dyDescent="0.25">
      <c r="A49" s="55" t="s">
        <v>173</v>
      </c>
      <c r="B49" s="56" t="s">
        <v>141</v>
      </c>
      <c r="C49" s="57" t="s">
        <v>94</v>
      </c>
      <c r="D49" s="58" t="s">
        <v>140</v>
      </c>
      <c r="E49" s="59" t="s">
        <v>15</v>
      </c>
      <c r="F49" s="60">
        <v>2</v>
      </c>
      <c r="G49" s="318">
        <f>2</f>
        <v>2</v>
      </c>
      <c r="H49" s="319"/>
      <c r="I49" s="319"/>
      <c r="J49" s="319"/>
      <c r="K49" s="319"/>
      <c r="L49" s="320"/>
    </row>
    <row r="50" spans="1:12" ht="15" customHeight="1" x14ac:dyDescent="0.25">
      <c r="A50" s="48" t="s">
        <v>19</v>
      </c>
      <c r="B50" s="49"/>
      <c r="C50" s="49"/>
      <c r="D50" s="50" t="s">
        <v>137</v>
      </c>
      <c r="E50" s="51"/>
      <c r="F50" s="51"/>
      <c r="G50" s="321"/>
      <c r="H50" s="322"/>
      <c r="I50" s="322"/>
      <c r="J50" s="322"/>
      <c r="K50" s="322"/>
      <c r="L50" s="323"/>
    </row>
    <row r="51" spans="1:12" ht="38.25" customHeight="1" x14ac:dyDescent="0.25">
      <c r="A51" s="55" t="s">
        <v>174</v>
      </c>
      <c r="B51" s="56" t="s">
        <v>142</v>
      </c>
      <c r="C51" s="57" t="s">
        <v>18</v>
      </c>
      <c r="D51" s="58" t="s">
        <v>146</v>
      </c>
      <c r="E51" s="59" t="s">
        <v>147</v>
      </c>
      <c r="F51" s="239">
        <f>(0.08+0.06+0.02)*1473.32*30</f>
        <v>7071.94</v>
      </c>
      <c r="G51" s="318" t="s">
        <v>207</v>
      </c>
      <c r="H51" s="319"/>
      <c r="I51" s="319"/>
      <c r="J51" s="319"/>
      <c r="K51" s="319"/>
      <c r="L51" s="320"/>
    </row>
    <row r="52" spans="1:12" ht="57.75" customHeight="1" x14ac:dyDescent="0.25">
      <c r="A52" s="55" t="s">
        <v>175</v>
      </c>
      <c r="B52" s="56" t="s">
        <v>143</v>
      </c>
      <c r="C52" s="57" t="s">
        <v>18</v>
      </c>
      <c r="D52" s="58" t="s">
        <v>148</v>
      </c>
      <c r="E52" s="59" t="s">
        <v>147</v>
      </c>
      <c r="F52" s="239">
        <f>(0.08+0.06+0.02)*1473.32*16.2</f>
        <v>3818.85</v>
      </c>
      <c r="G52" s="318" t="s">
        <v>206</v>
      </c>
      <c r="H52" s="319"/>
      <c r="I52" s="319"/>
      <c r="J52" s="319"/>
      <c r="K52" s="319"/>
      <c r="L52" s="320"/>
    </row>
    <row r="53" spans="1:12" ht="28.5" customHeight="1" x14ac:dyDescent="0.25">
      <c r="A53" s="55" t="s">
        <v>176</v>
      </c>
      <c r="B53" s="56" t="s">
        <v>144</v>
      </c>
      <c r="C53" s="57" t="s">
        <v>18</v>
      </c>
      <c r="D53" s="58" t="s">
        <v>149</v>
      </c>
      <c r="E53" s="59" t="s">
        <v>14</v>
      </c>
      <c r="F53" s="60">
        <v>1473.32</v>
      </c>
      <c r="G53" s="318" t="s">
        <v>204</v>
      </c>
      <c r="H53" s="319"/>
      <c r="I53" s="319"/>
      <c r="J53" s="319"/>
      <c r="K53" s="319"/>
      <c r="L53" s="320"/>
    </row>
    <row r="54" spans="1:12" ht="63.75" x14ac:dyDescent="0.25">
      <c r="A54" s="55" t="s">
        <v>177</v>
      </c>
      <c r="B54" s="56" t="s">
        <v>145</v>
      </c>
      <c r="C54" s="57" t="s">
        <v>18</v>
      </c>
      <c r="D54" s="58" t="s">
        <v>150</v>
      </c>
      <c r="E54" s="59" t="s">
        <v>21</v>
      </c>
      <c r="F54" s="239">
        <v>12</v>
      </c>
      <c r="G54" s="318" t="s">
        <v>208</v>
      </c>
      <c r="H54" s="319"/>
      <c r="I54" s="319"/>
      <c r="J54" s="319"/>
      <c r="K54" s="319"/>
      <c r="L54" s="320"/>
    </row>
    <row r="55" spans="1:12" ht="15" customHeight="1" x14ac:dyDescent="0.25">
      <c r="A55" s="223">
        <v>3</v>
      </c>
      <c r="B55" s="224"/>
      <c r="C55" s="224"/>
      <c r="D55" s="225" t="s">
        <v>178</v>
      </c>
      <c r="E55" s="226"/>
      <c r="F55" s="226"/>
      <c r="G55" s="324"/>
      <c r="H55" s="325"/>
      <c r="I55" s="325"/>
      <c r="J55" s="325"/>
      <c r="K55" s="325"/>
      <c r="L55" s="326"/>
    </row>
    <row r="56" spans="1:12" ht="15" customHeight="1" x14ac:dyDescent="0.25">
      <c r="A56" s="48" t="s">
        <v>107</v>
      </c>
      <c r="B56" s="49"/>
      <c r="C56" s="49"/>
      <c r="D56" s="50" t="s">
        <v>123</v>
      </c>
      <c r="E56" s="51"/>
      <c r="F56" s="51"/>
      <c r="G56" s="321"/>
      <c r="H56" s="322"/>
      <c r="I56" s="322"/>
      <c r="J56" s="322"/>
      <c r="K56" s="322"/>
      <c r="L56" s="323"/>
    </row>
    <row r="57" spans="1:12" ht="63.75" x14ac:dyDescent="0.25">
      <c r="A57" s="55" t="s">
        <v>108</v>
      </c>
      <c r="B57" s="56" t="s">
        <v>130</v>
      </c>
      <c r="C57" s="57" t="s">
        <v>18</v>
      </c>
      <c r="D57" s="58" t="s">
        <v>131</v>
      </c>
      <c r="E57" s="59" t="s">
        <v>21</v>
      </c>
      <c r="F57" s="60">
        <f>(17.82+22.83+38.68+23.91+14.49+2.57+3+1.54)*2</f>
        <v>249.68</v>
      </c>
      <c r="G57" s="318" t="s">
        <v>209</v>
      </c>
      <c r="H57" s="319"/>
      <c r="I57" s="319"/>
      <c r="J57" s="319"/>
      <c r="K57" s="319"/>
      <c r="L57" s="320"/>
    </row>
    <row r="58" spans="1:12" ht="38.25" x14ac:dyDescent="0.25">
      <c r="A58" s="55" t="s">
        <v>109</v>
      </c>
      <c r="B58" s="56" t="s">
        <v>105</v>
      </c>
      <c r="C58" s="57" t="s">
        <v>18</v>
      </c>
      <c r="D58" s="58" t="s">
        <v>104</v>
      </c>
      <c r="E58" s="59" t="s">
        <v>21</v>
      </c>
      <c r="F58" s="60">
        <f>F57-(3+1.54)*2</f>
        <v>240.6</v>
      </c>
      <c r="G58" s="318" t="s">
        <v>210</v>
      </c>
      <c r="H58" s="319"/>
      <c r="I58" s="319"/>
      <c r="J58" s="319"/>
      <c r="K58" s="319"/>
      <c r="L58" s="320"/>
    </row>
    <row r="59" spans="1:12" ht="51" x14ac:dyDescent="0.25">
      <c r="A59" s="55" t="s">
        <v>110</v>
      </c>
      <c r="B59" s="56" t="s">
        <v>138</v>
      </c>
      <c r="C59" s="57" t="s">
        <v>18</v>
      </c>
      <c r="D59" s="58" t="s">
        <v>139</v>
      </c>
      <c r="E59" s="59" t="s">
        <v>20</v>
      </c>
      <c r="F59" s="222">
        <f>0.8*0.6*0.2*2</f>
        <v>0.19</v>
      </c>
      <c r="G59" s="318" t="s">
        <v>211</v>
      </c>
      <c r="H59" s="319"/>
      <c r="I59" s="319"/>
      <c r="J59" s="319"/>
      <c r="K59" s="319"/>
      <c r="L59" s="320"/>
    </row>
    <row r="60" spans="1:12" ht="15" customHeight="1" x14ac:dyDescent="0.25">
      <c r="A60" s="48" t="s">
        <v>111</v>
      </c>
      <c r="B60" s="49"/>
      <c r="C60" s="49"/>
      <c r="D60" s="50" t="s">
        <v>137</v>
      </c>
      <c r="E60" s="51"/>
      <c r="F60" s="51">
        <f t="shared" ref="F60" si="0">11.08*1.1*4*2</f>
        <v>97.504000000000005</v>
      </c>
      <c r="G60" s="321"/>
      <c r="H60" s="322"/>
      <c r="I60" s="322"/>
      <c r="J60" s="322"/>
      <c r="K60" s="322"/>
      <c r="L60" s="323"/>
    </row>
    <row r="61" spans="1:12" ht="38.25" x14ac:dyDescent="0.25">
      <c r="A61" s="55" t="s">
        <v>112</v>
      </c>
      <c r="B61" s="56" t="s">
        <v>142</v>
      </c>
      <c r="C61" s="57" t="s">
        <v>18</v>
      </c>
      <c r="D61" s="58" t="s">
        <v>146</v>
      </c>
      <c r="E61" s="59" t="s">
        <v>147</v>
      </c>
      <c r="F61" s="222">
        <f>(0.08+0.06+0.02)*621.28*30</f>
        <v>2982.14</v>
      </c>
      <c r="G61" s="318" t="s">
        <v>213</v>
      </c>
      <c r="H61" s="319"/>
      <c r="I61" s="319"/>
      <c r="J61" s="319"/>
      <c r="K61" s="319"/>
      <c r="L61" s="320"/>
    </row>
    <row r="62" spans="1:12" ht="38.25" x14ac:dyDescent="0.25">
      <c r="A62" s="55" t="s">
        <v>113</v>
      </c>
      <c r="B62" s="56" t="s">
        <v>143</v>
      </c>
      <c r="C62" s="57" t="s">
        <v>18</v>
      </c>
      <c r="D62" s="58" t="s">
        <v>148</v>
      </c>
      <c r="E62" s="59" t="s">
        <v>147</v>
      </c>
      <c r="F62" s="222">
        <f>(0.08+0.06+0.02)*621.28*16.4</f>
        <v>1630.24</v>
      </c>
      <c r="G62" s="318" t="s">
        <v>214</v>
      </c>
      <c r="H62" s="319"/>
      <c r="I62" s="319"/>
      <c r="J62" s="319"/>
      <c r="K62" s="319"/>
      <c r="L62" s="320"/>
    </row>
    <row r="63" spans="1:12" ht="25.5" x14ac:dyDescent="0.25">
      <c r="A63" s="55" t="s">
        <v>179</v>
      </c>
      <c r="B63" s="56" t="s">
        <v>144</v>
      </c>
      <c r="C63" s="57" t="s">
        <v>18</v>
      </c>
      <c r="D63" s="58" t="s">
        <v>149</v>
      </c>
      <c r="E63" s="59" t="s">
        <v>14</v>
      </c>
      <c r="F63" s="60">
        <v>621.28</v>
      </c>
      <c r="G63" s="318" t="s">
        <v>212</v>
      </c>
      <c r="H63" s="319"/>
      <c r="I63" s="319"/>
      <c r="J63" s="319"/>
      <c r="K63" s="319"/>
      <c r="L63" s="320"/>
    </row>
    <row r="64" spans="1:12" ht="63.75" x14ac:dyDescent="0.25">
      <c r="A64" s="55" t="s">
        <v>180</v>
      </c>
      <c r="B64" s="56" t="s">
        <v>145</v>
      </c>
      <c r="C64" s="57" t="s">
        <v>18</v>
      </c>
      <c r="D64" s="58" t="s">
        <v>150</v>
      </c>
      <c r="E64" s="59" t="s">
        <v>21</v>
      </c>
      <c r="F64" s="60">
        <f>5.38+6</f>
        <v>11.38</v>
      </c>
      <c r="G64" s="318" t="s">
        <v>215</v>
      </c>
      <c r="H64" s="319"/>
      <c r="I64" s="319"/>
      <c r="J64" s="319"/>
      <c r="K64" s="319"/>
      <c r="L64" s="320"/>
    </row>
    <row r="65" spans="1:12" x14ac:dyDescent="0.25">
      <c r="A65" s="223">
        <v>4</v>
      </c>
      <c r="B65" s="224"/>
      <c r="C65" s="224"/>
      <c r="D65" s="225" t="s">
        <v>181</v>
      </c>
      <c r="E65" s="226"/>
      <c r="F65" s="226"/>
      <c r="G65" s="324"/>
      <c r="H65" s="325"/>
      <c r="I65" s="325"/>
      <c r="J65" s="325"/>
      <c r="K65" s="325"/>
      <c r="L65" s="326"/>
    </row>
    <row r="66" spans="1:12" ht="15" customHeight="1" x14ac:dyDescent="0.25">
      <c r="A66" s="48" t="s">
        <v>114</v>
      </c>
      <c r="B66" s="49"/>
      <c r="C66" s="49"/>
      <c r="D66" s="50" t="s">
        <v>123</v>
      </c>
      <c r="E66" s="51"/>
      <c r="F66" s="51"/>
      <c r="G66" s="321"/>
      <c r="H66" s="322"/>
      <c r="I66" s="322"/>
      <c r="J66" s="322"/>
      <c r="K66" s="322"/>
      <c r="L66" s="323"/>
    </row>
    <row r="67" spans="1:12" ht="63.75" x14ac:dyDescent="0.25">
      <c r="A67" s="55" t="s">
        <v>182</v>
      </c>
      <c r="B67" s="56" t="s">
        <v>125</v>
      </c>
      <c r="C67" s="57" t="s">
        <v>18</v>
      </c>
      <c r="D67" s="58" t="s">
        <v>124</v>
      </c>
      <c r="E67" s="59" t="s">
        <v>21</v>
      </c>
      <c r="F67" s="239">
        <f>6</f>
        <v>6</v>
      </c>
      <c r="G67" s="318" t="s">
        <v>218</v>
      </c>
      <c r="H67" s="319"/>
      <c r="I67" s="319"/>
      <c r="J67" s="319"/>
      <c r="K67" s="319"/>
      <c r="L67" s="320"/>
    </row>
    <row r="68" spans="1:12" ht="63.75" x14ac:dyDescent="0.25">
      <c r="A68" s="55" t="s">
        <v>183</v>
      </c>
      <c r="B68" s="56" t="s">
        <v>127</v>
      </c>
      <c r="C68" s="57" t="s">
        <v>18</v>
      </c>
      <c r="D68" s="58" t="s">
        <v>126</v>
      </c>
      <c r="E68" s="59" t="s">
        <v>20</v>
      </c>
      <c r="F68" s="239">
        <f>0.8*1*6</f>
        <v>4.8</v>
      </c>
      <c r="G68" s="318" t="s">
        <v>219</v>
      </c>
      <c r="H68" s="319"/>
      <c r="I68" s="319"/>
      <c r="J68" s="319"/>
      <c r="K68" s="319"/>
      <c r="L68" s="320"/>
    </row>
    <row r="69" spans="1:12" ht="76.5" x14ac:dyDescent="0.25">
      <c r="A69" s="55" t="s">
        <v>184</v>
      </c>
      <c r="B69" s="56" t="s">
        <v>128</v>
      </c>
      <c r="C69" s="57" t="s">
        <v>18</v>
      </c>
      <c r="D69" s="58" t="s">
        <v>129</v>
      </c>
      <c r="E69" s="59" t="s">
        <v>20</v>
      </c>
      <c r="F69" s="239">
        <f>F68-3.14*0.2*0.2*6</f>
        <v>4.05</v>
      </c>
      <c r="G69" s="318" t="s">
        <v>220</v>
      </c>
      <c r="H69" s="319"/>
      <c r="I69" s="319"/>
      <c r="J69" s="319"/>
      <c r="K69" s="319"/>
      <c r="L69" s="320"/>
    </row>
    <row r="70" spans="1:12" ht="55.5" customHeight="1" x14ac:dyDescent="0.25">
      <c r="A70" s="55" t="s">
        <v>185</v>
      </c>
      <c r="B70" s="56" t="s">
        <v>130</v>
      </c>
      <c r="C70" s="57" t="s">
        <v>18</v>
      </c>
      <c r="D70" s="58" t="s">
        <v>131</v>
      </c>
      <c r="E70" s="59" t="s">
        <v>21</v>
      </c>
      <c r="F70" s="239">
        <f>(3.6+7.95+3.96+29.82+3.15+8.17+8.49+8.2+11.51+14.07+16.63+14.1+20.47+2.47+3.63+2.47+27.68+44.85)*2</f>
        <v>462.44</v>
      </c>
      <c r="G70" s="318" t="s">
        <v>216</v>
      </c>
      <c r="H70" s="319"/>
      <c r="I70" s="319"/>
      <c r="J70" s="319"/>
      <c r="K70" s="319"/>
      <c r="L70" s="320"/>
    </row>
    <row r="71" spans="1:12" ht="38.25" x14ac:dyDescent="0.25">
      <c r="A71" s="55" t="s">
        <v>186</v>
      </c>
      <c r="B71" s="56" t="s">
        <v>105</v>
      </c>
      <c r="C71" s="57" t="s">
        <v>18</v>
      </c>
      <c r="D71" s="58" t="s">
        <v>104</v>
      </c>
      <c r="E71" s="59" t="s">
        <v>21</v>
      </c>
      <c r="F71" s="239">
        <f>F70-(2.47+3.63+2.47)</f>
        <v>453.87</v>
      </c>
      <c r="G71" s="318" t="s">
        <v>217</v>
      </c>
      <c r="H71" s="319"/>
      <c r="I71" s="319"/>
      <c r="J71" s="319"/>
      <c r="K71" s="319"/>
      <c r="L71" s="320"/>
    </row>
    <row r="72" spans="1:12" ht="51" x14ac:dyDescent="0.25">
      <c r="A72" s="55" t="s">
        <v>187</v>
      </c>
      <c r="B72" s="56" t="s">
        <v>226</v>
      </c>
      <c r="C72" s="57" t="s">
        <v>18</v>
      </c>
      <c r="D72" s="58" t="s">
        <v>224</v>
      </c>
      <c r="E72" s="59" t="s">
        <v>21</v>
      </c>
      <c r="F72" s="239">
        <f>4.96+12.34+16.07+9.22+45.78</f>
        <v>88.37</v>
      </c>
      <c r="G72" s="318" t="s">
        <v>227</v>
      </c>
      <c r="H72" s="319"/>
      <c r="I72" s="319"/>
      <c r="J72" s="319"/>
      <c r="K72" s="319"/>
      <c r="L72" s="320"/>
    </row>
    <row r="73" spans="1:12" x14ac:dyDescent="0.25">
      <c r="A73" s="55" t="s">
        <v>188</v>
      </c>
      <c r="B73" s="56" t="s">
        <v>31</v>
      </c>
      <c r="C73" s="57" t="s">
        <v>89</v>
      </c>
      <c r="D73" s="58" t="s">
        <v>132</v>
      </c>
      <c r="E73" s="59" t="s">
        <v>15</v>
      </c>
      <c r="F73" s="239">
        <v>2</v>
      </c>
      <c r="G73" s="318">
        <v>2</v>
      </c>
      <c r="H73" s="319"/>
      <c r="I73" s="319"/>
      <c r="J73" s="319"/>
      <c r="K73" s="319"/>
      <c r="L73" s="320"/>
    </row>
    <row r="74" spans="1:12" x14ac:dyDescent="0.25">
      <c r="A74" s="55" t="s">
        <v>189</v>
      </c>
      <c r="B74" s="56" t="s">
        <v>32</v>
      </c>
      <c r="C74" s="57" t="s">
        <v>89</v>
      </c>
      <c r="D74" s="58" t="s">
        <v>133</v>
      </c>
      <c r="E74" s="59" t="s">
        <v>15</v>
      </c>
      <c r="F74" s="239">
        <v>2</v>
      </c>
      <c r="G74" s="318">
        <v>2</v>
      </c>
      <c r="H74" s="319"/>
      <c r="I74" s="319"/>
      <c r="J74" s="319"/>
      <c r="K74" s="319"/>
      <c r="L74" s="320"/>
    </row>
    <row r="75" spans="1:12" ht="38.25" x14ac:dyDescent="0.25">
      <c r="A75" s="55" t="s">
        <v>190</v>
      </c>
      <c r="B75" s="56" t="s">
        <v>135</v>
      </c>
      <c r="C75" s="57" t="s">
        <v>18</v>
      </c>
      <c r="D75" s="58" t="s">
        <v>134</v>
      </c>
      <c r="E75" s="59" t="s">
        <v>15</v>
      </c>
      <c r="F75" s="239">
        <v>1</v>
      </c>
      <c r="G75" s="318">
        <v>1</v>
      </c>
      <c r="H75" s="319"/>
      <c r="I75" s="319"/>
      <c r="J75" s="319"/>
      <c r="K75" s="319"/>
      <c r="L75" s="320"/>
    </row>
    <row r="76" spans="1:12" ht="51" x14ac:dyDescent="0.25">
      <c r="A76" s="55" t="s">
        <v>191</v>
      </c>
      <c r="B76" s="56" t="s">
        <v>138</v>
      </c>
      <c r="C76" s="57" t="s">
        <v>18</v>
      </c>
      <c r="D76" s="58" t="s">
        <v>139</v>
      </c>
      <c r="E76" s="59" t="s">
        <v>20</v>
      </c>
      <c r="F76" s="239">
        <f>0.8*0.6*0.2*2</f>
        <v>0.19</v>
      </c>
      <c r="G76" s="318" t="s">
        <v>211</v>
      </c>
      <c r="H76" s="319"/>
      <c r="I76" s="319"/>
      <c r="J76" s="319"/>
      <c r="K76" s="319"/>
      <c r="L76" s="320"/>
    </row>
    <row r="77" spans="1:12" x14ac:dyDescent="0.25">
      <c r="A77" s="55" t="s">
        <v>225</v>
      </c>
      <c r="B77" s="56" t="s">
        <v>141</v>
      </c>
      <c r="C77" s="57" t="s">
        <v>94</v>
      </c>
      <c r="D77" s="58" t="s">
        <v>140</v>
      </c>
      <c r="E77" s="59" t="s">
        <v>15</v>
      </c>
      <c r="F77" s="239">
        <f>0.8*0.6*0.2*2</f>
        <v>0.19</v>
      </c>
      <c r="G77" s="318">
        <v>2</v>
      </c>
      <c r="H77" s="319"/>
      <c r="I77" s="319"/>
      <c r="J77" s="319"/>
      <c r="K77" s="319"/>
      <c r="L77" s="320"/>
    </row>
    <row r="78" spans="1:12" x14ac:dyDescent="0.25">
      <c r="A78" s="48" t="s">
        <v>115</v>
      </c>
      <c r="B78" s="49"/>
      <c r="C78" s="49"/>
      <c r="D78" s="50" t="s">
        <v>137</v>
      </c>
      <c r="E78" s="51"/>
      <c r="F78" s="52"/>
      <c r="G78" s="216"/>
      <c r="H78" s="217"/>
      <c r="I78" s="217"/>
      <c r="J78" s="217"/>
      <c r="K78" s="217"/>
      <c r="L78" s="218"/>
    </row>
    <row r="79" spans="1:12" ht="38.25" customHeight="1" x14ac:dyDescent="0.25">
      <c r="A79" s="55" t="s">
        <v>192</v>
      </c>
      <c r="B79" s="56" t="s">
        <v>142</v>
      </c>
      <c r="C79" s="57" t="s">
        <v>18</v>
      </c>
      <c r="D79" s="58" t="s">
        <v>146</v>
      </c>
      <c r="E79" s="59" t="s">
        <v>147</v>
      </c>
      <c r="F79" s="239">
        <f>(0.08+0.06+ 0.02)*(1172.17)*30</f>
        <v>5626.42</v>
      </c>
      <c r="G79" s="318" t="s">
        <v>222</v>
      </c>
      <c r="H79" s="319"/>
      <c r="I79" s="319"/>
      <c r="J79" s="319"/>
      <c r="K79" s="319"/>
      <c r="L79" s="320"/>
    </row>
    <row r="80" spans="1:12" ht="38.25" customHeight="1" x14ac:dyDescent="0.25">
      <c r="A80" s="55" t="s">
        <v>193</v>
      </c>
      <c r="B80" s="56" t="s">
        <v>143</v>
      </c>
      <c r="C80" s="57" t="s">
        <v>18</v>
      </c>
      <c r="D80" s="58" t="s">
        <v>148</v>
      </c>
      <c r="E80" s="59" t="s">
        <v>147</v>
      </c>
      <c r="F80" s="239">
        <f>(0.08+0.06+ 0.02)*(1172.17)*18.6</f>
        <v>3488.38</v>
      </c>
      <c r="G80" s="318" t="s">
        <v>206</v>
      </c>
      <c r="H80" s="319"/>
      <c r="I80" s="319"/>
      <c r="J80" s="319"/>
      <c r="K80" s="319"/>
      <c r="L80" s="320"/>
    </row>
    <row r="81" spans="1:12" ht="25.5" x14ac:dyDescent="0.25">
      <c r="A81" s="55" t="s">
        <v>194</v>
      </c>
      <c r="B81" s="56" t="s">
        <v>144</v>
      </c>
      <c r="C81" s="57" t="s">
        <v>18</v>
      </c>
      <c r="D81" s="58" t="s">
        <v>149</v>
      </c>
      <c r="E81" s="59" t="s">
        <v>14</v>
      </c>
      <c r="F81" s="239">
        <f>1172.17</f>
        <v>1172.17</v>
      </c>
      <c r="G81" s="318" t="s">
        <v>221</v>
      </c>
      <c r="H81" s="319"/>
      <c r="I81" s="319"/>
      <c r="J81" s="319"/>
      <c r="K81" s="319"/>
      <c r="L81" s="320"/>
    </row>
    <row r="82" spans="1:12" ht="63.75" x14ac:dyDescent="0.25">
      <c r="A82" s="55" t="s">
        <v>195</v>
      </c>
      <c r="B82" s="56" t="s">
        <v>145</v>
      </c>
      <c r="C82" s="57" t="s">
        <v>18</v>
      </c>
      <c r="D82" s="58" t="s">
        <v>150</v>
      </c>
      <c r="E82" s="59" t="s">
        <v>21</v>
      </c>
      <c r="F82" s="239">
        <f>6+4</f>
        <v>10</v>
      </c>
      <c r="G82" s="318" t="s">
        <v>223</v>
      </c>
      <c r="H82" s="319"/>
      <c r="I82" s="319"/>
      <c r="J82" s="319"/>
      <c r="K82" s="319"/>
      <c r="L82" s="320"/>
    </row>
    <row r="83" spans="1:12" x14ac:dyDescent="0.25">
      <c r="A83" s="231"/>
      <c r="B83" s="232"/>
      <c r="C83" s="237"/>
      <c r="D83" s="238"/>
      <c r="E83" s="233"/>
      <c r="F83" s="234"/>
      <c r="G83" s="235"/>
      <c r="H83" s="235"/>
      <c r="I83" s="235"/>
      <c r="J83" s="235"/>
      <c r="K83" s="235"/>
      <c r="L83" s="236"/>
    </row>
    <row r="84" spans="1:12" x14ac:dyDescent="0.25">
      <c r="A84" s="231"/>
      <c r="B84" s="232"/>
      <c r="C84" s="237"/>
      <c r="D84" s="238"/>
      <c r="E84" s="233"/>
      <c r="F84" s="234"/>
      <c r="G84" s="235"/>
      <c r="H84" s="235"/>
      <c r="I84" s="235"/>
      <c r="J84" s="235"/>
      <c r="K84" s="235"/>
      <c r="L84" s="236"/>
    </row>
    <row r="85" spans="1:12" x14ac:dyDescent="0.25">
      <c r="A85" s="231"/>
      <c r="B85" s="232"/>
      <c r="C85" s="237"/>
      <c r="D85" s="238"/>
      <c r="E85" s="233"/>
      <c r="F85" s="234"/>
      <c r="G85" s="235"/>
      <c r="H85" s="235"/>
      <c r="I85" s="235"/>
      <c r="J85" s="235"/>
      <c r="K85" s="235"/>
      <c r="L85" s="236"/>
    </row>
    <row r="86" spans="1:12" x14ac:dyDescent="0.25">
      <c r="A86" s="80"/>
      <c r="B86" s="81"/>
      <c r="C86" s="85"/>
      <c r="D86" s="86"/>
      <c r="E86" s="81"/>
      <c r="F86" s="83"/>
      <c r="G86" s="83"/>
      <c r="H86" s="83"/>
      <c r="I86" s="83"/>
      <c r="L86" s="211"/>
    </row>
    <row r="87" spans="1:12" x14ac:dyDescent="0.25">
      <c r="A87" s="87"/>
      <c r="B87" s="88"/>
      <c r="C87" s="88" t="str">
        <f>'Planilha orçamentária'!C92</f>
        <v>R.T empresa</v>
      </c>
      <c r="D87" s="88"/>
      <c r="E87" s="88"/>
      <c r="F87" s="89" t="str">
        <f>'Planilha orçamentária'!F92</f>
        <v>CREAMG Nº</v>
      </c>
      <c r="G87" s="89"/>
      <c r="H87" s="90"/>
      <c r="I87" s="89"/>
      <c r="L87" s="211"/>
    </row>
    <row r="88" spans="1:12" x14ac:dyDescent="0.25">
      <c r="A88" s="87"/>
      <c r="B88" s="88"/>
      <c r="C88" s="88">
        <f>'Planilha orçamentária'!C93</f>
        <v>0</v>
      </c>
      <c r="D88" s="88"/>
      <c r="E88" s="88"/>
      <c r="F88" s="257"/>
      <c r="G88" s="257"/>
      <c r="H88" s="90"/>
      <c r="I88" s="89"/>
      <c r="L88" s="211"/>
    </row>
    <row r="89" spans="1:12" x14ac:dyDescent="0.25">
      <c r="A89" s="92"/>
      <c r="B89" s="13"/>
      <c r="C89" s="13"/>
      <c r="D89" s="15"/>
      <c r="E89" s="13"/>
      <c r="F89" s="93"/>
      <c r="G89" s="93"/>
      <c r="H89" s="93"/>
      <c r="I89" s="93"/>
      <c r="L89" s="211"/>
    </row>
    <row r="90" spans="1:12" x14ac:dyDescent="0.25">
      <c r="A90" s="92"/>
      <c r="B90" s="13"/>
      <c r="C90" s="13"/>
      <c r="D90" s="15"/>
      <c r="E90" s="13"/>
      <c r="F90" s="93"/>
      <c r="G90" s="93"/>
      <c r="H90" s="93"/>
      <c r="I90" s="93"/>
      <c r="L90" s="211"/>
    </row>
    <row r="91" spans="1:12" x14ac:dyDescent="0.25">
      <c r="A91" s="92"/>
      <c r="B91" s="13"/>
      <c r="C91" s="258"/>
      <c r="D91" s="258"/>
      <c r="E91" s="13"/>
      <c r="F91" s="93"/>
      <c r="G91" s="93"/>
      <c r="H91" s="93"/>
      <c r="I91" s="93"/>
      <c r="L91" s="211"/>
    </row>
    <row r="92" spans="1:12" x14ac:dyDescent="0.25">
      <c r="A92" s="92"/>
      <c r="B92" s="13"/>
      <c r="C92" s="95"/>
      <c r="D92" s="96"/>
      <c r="E92" s="13"/>
      <c r="F92" s="93"/>
      <c r="G92" s="93"/>
      <c r="H92" s="93"/>
      <c r="I92" s="93"/>
      <c r="L92" s="211"/>
    </row>
    <row r="93" spans="1:12" x14ac:dyDescent="0.25">
      <c r="A93" s="87"/>
      <c r="B93" s="88"/>
      <c r="C93" s="88" t="str">
        <f>'Planilha orçamentária'!C98</f>
        <v>Responsavel Empresa</v>
      </c>
      <c r="D93" s="88"/>
      <c r="E93" s="88"/>
      <c r="F93" s="90"/>
      <c r="G93" s="90"/>
      <c r="H93" s="90"/>
      <c r="I93" s="89"/>
      <c r="L93" s="211"/>
    </row>
    <row r="94" spans="1:12" x14ac:dyDescent="0.25">
      <c r="A94" s="87"/>
      <c r="B94" s="88"/>
      <c r="C94" s="88">
        <f>'Planilha orçamentária'!C99</f>
        <v>0</v>
      </c>
      <c r="D94" s="88"/>
      <c r="E94" s="88"/>
      <c r="F94" s="90"/>
      <c r="G94" s="90"/>
      <c r="H94" s="90"/>
      <c r="I94" s="89"/>
      <c r="L94" s="211"/>
    </row>
    <row r="95" spans="1:12" ht="15.75" thickBot="1" x14ac:dyDescent="0.3">
      <c r="A95" s="97"/>
      <c r="B95" s="98"/>
      <c r="C95" s="99"/>
      <c r="D95" s="100"/>
      <c r="E95" s="98"/>
      <c r="F95" s="101"/>
      <c r="G95" s="101"/>
      <c r="H95" s="101"/>
      <c r="I95" s="213"/>
      <c r="J95" s="210"/>
      <c r="K95" s="210"/>
      <c r="L95" s="212"/>
    </row>
  </sheetData>
  <mergeCells count="86">
    <mergeCell ref="G22:L22"/>
    <mergeCell ref="G43:L43"/>
    <mergeCell ref="A12:F12"/>
    <mergeCell ref="A2:L2"/>
    <mergeCell ref="A3:L3"/>
    <mergeCell ref="A4:L4"/>
    <mergeCell ref="A5:L5"/>
    <mergeCell ref="A6:L6"/>
    <mergeCell ref="A9:L9"/>
    <mergeCell ref="A10:L10"/>
    <mergeCell ref="A11:F11"/>
    <mergeCell ref="G11:L11"/>
    <mergeCell ref="G24:L24"/>
    <mergeCell ref="G31:L31"/>
    <mergeCell ref="I13:L13"/>
    <mergeCell ref="G20:L20"/>
    <mergeCell ref="G21:L21"/>
    <mergeCell ref="A17:L17"/>
    <mergeCell ref="G18:L18"/>
    <mergeCell ref="A15:F15"/>
    <mergeCell ref="H15:L15"/>
    <mergeCell ref="A16:F16"/>
    <mergeCell ref="H16:L16"/>
    <mergeCell ref="G19:L19"/>
    <mergeCell ref="A14:F14"/>
    <mergeCell ref="A13:F13"/>
    <mergeCell ref="P20:U20"/>
    <mergeCell ref="P21:U21"/>
    <mergeCell ref="F88:G88"/>
    <mergeCell ref="C91:D91"/>
    <mergeCell ref="G28:L28"/>
    <mergeCell ref="G29:L29"/>
    <mergeCell ref="G61:L61"/>
    <mergeCell ref="G30:L30"/>
    <mergeCell ref="G32:L32"/>
    <mergeCell ref="G33:L33"/>
    <mergeCell ref="G34:L34"/>
    <mergeCell ref="G35:L35"/>
    <mergeCell ref="G36:L36"/>
    <mergeCell ref="G37:L37"/>
    <mergeCell ref="G38:L38"/>
    <mergeCell ref="G49:L49"/>
    <mergeCell ref="G62:L62"/>
    <mergeCell ref="G67:L67"/>
    <mergeCell ref="G23:L23"/>
    <mergeCell ref="G26:L26"/>
    <mergeCell ref="G27:L27"/>
    <mergeCell ref="G25:L25"/>
    <mergeCell ref="G39:L39"/>
    <mergeCell ref="G40:L40"/>
    <mergeCell ref="G41:L41"/>
    <mergeCell ref="G52:L52"/>
    <mergeCell ref="G53:L53"/>
    <mergeCell ref="G55:L55"/>
    <mergeCell ref="G47:L47"/>
    <mergeCell ref="G42:L42"/>
    <mergeCell ref="G50:L50"/>
    <mergeCell ref="G44:L44"/>
    <mergeCell ref="G45:L45"/>
    <mergeCell ref="G46:L46"/>
    <mergeCell ref="G66:L66"/>
    <mergeCell ref="G48:L48"/>
    <mergeCell ref="G51:L51"/>
    <mergeCell ref="G63:L63"/>
    <mergeCell ref="G56:L56"/>
    <mergeCell ref="G57:L57"/>
    <mergeCell ref="G58:L58"/>
    <mergeCell ref="G59:L59"/>
    <mergeCell ref="G60:L60"/>
    <mergeCell ref="G64:L64"/>
    <mergeCell ref="G82:L82"/>
    <mergeCell ref="G54:L54"/>
    <mergeCell ref="G72:L72"/>
    <mergeCell ref="G76:L76"/>
    <mergeCell ref="G77:L77"/>
    <mergeCell ref="G79:L79"/>
    <mergeCell ref="G80:L80"/>
    <mergeCell ref="G81:L81"/>
    <mergeCell ref="G70:L70"/>
    <mergeCell ref="G71:L71"/>
    <mergeCell ref="G73:L73"/>
    <mergeCell ref="G74:L74"/>
    <mergeCell ref="G75:L75"/>
    <mergeCell ref="G68:L68"/>
    <mergeCell ref="G69:L69"/>
    <mergeCell ref="G65:L65"/>
  </mergeCells>
  <phoneticPr fontId="12" type="noConversion"/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B408F-02E0-4720-88DF-5FF5E474F568}">
  <dimension ref="A1:P39"/>
  <sheetViews>
    <sheetView showZeros="0" zoomScale="80" zoomScaleNormal="80" workbookViewId="0">
      <selection activeCell="F20" sqref="F20"/>
    </sheetView>
  </sheetViews>
  <sheetFormatPr defaultRowHeight="12.75" x14ac:dyDescent="0.2"/>
  <cols>
    <col min="1" max="1" width="12.140625" style="152" customWidth="1"/>
    <col min="2" max="2" width="49.28515625" style="152" customWidth="1"/>
    <col min="3" max="3" width="19.5703125" style="152" customWidth="1"/>
    <col min="4" max="4" width="18.85546875" style="152" customWidth="1"/>
    <col min="5" max="5" width="16.7109375" style="152" customWidth="1"/>
    <col min="6" max="8" width="17.140625" style="152" bestFit="1" customWidth="1"/>
    <col min="9" max="9" width="16.7109375" style="152" bestFit="1" customWidth="1"/>
    <col min="10" max="11" width="17.140625" style="152" bestFit="1" customWidth="1"/>
    <col min="12" max="12" width="17.42578125" style="152" bestFit="1" customWidth="1"/>
    <col min="13" max="13" width="16.42578125" style="152" bestFit="1" customWidth="1"/>
    <col min="14" max="14" width="17.140625" style="152" bestFit="1" customWidth="1"/>
    <col min="15" max="15" width="18.7109375" style="152" customWidth="1"/>
    <col min="16" max="258" width="9.140625" style="152"/>
    <col min="259" max="259" width="12.140625" style="152" customWidth="1"/>
    <col min="260" max="260" width="60.28515625" style="152" customWidth="1"/>
    <col min="261" max="261" width="22.85546875" style="152" customWidth="1"/>
    <col min="262" max="262" width="21.7109375" style="152" customWidth="1"/>
    <col min="263" max="264" width="25.140625" style="152" customWidth="1"/>
    <col min="265" max="514" width="9.140625" style="152"/>
    <col min="515" max="515" width="12.140625" style="152" customWidth="1"/>
    <col min="516" max="516" width="60.28515625" style="152" customWidth="1"/>
    <col min="517" max="517" width="22.85546875" style="152" customWidth="1"/>
    <col min="518" max="518" width="21.7109375" style="152" customWidth="1"/>
    <col min="519" max="520" width="25.140625" style="152" customWidth="1"/>
    <col min="521" max="770" width="9.140625" style="152"/>
    <col min="771" max="771" width="12.140625" style="152" customWidth="1"/>
    <col min="772" max="772" width="60.28515625" style="152" customWidth="1"/>
    <col min="773" max="773" width="22.85546875" style="152" customWidth="1"/>
    <col min="774" max="774" width="21.7109375" style="152" customWidth="1"/>
    <col min="775" max="776" width="25.140625" style="152" customWidth="1"/>
    <col min="777" max="1026" width="9.140625" style="152"/>
    <col min="1027" max="1027" width="12.140625" style="152" customWidth="1"/>
    <col min="1028" max="1028" width="60.28515625" style="152" customWidth="1"/>
    <col min="1029" max="1029" width="22.85546875" style="152" customWidth="1"/>
    <col min="1030" max="1030" width="21.7109375" style="152" customWidth="1"/>
    <col min="1031" max="1032" width="25.140625" style="152" customWidth="1"/>
    <col min="1033" max="1282" width="9.140625" style="152"/>
    <col min="1283" max="1283" width="12.140625" style="152" customWidth="1"/>
    <col min="1284" max="1284" width="60.28515625" style="152" customWidth="1"/>
    <col min="1285" max="1285" width="22.85546875" style="152" customWidth="1"/>
    <col min="1286" max="1286" width="21.7109375" style="152" customWidth="1"/>
    <col min="1287" max="1288" width="25.140625" style="152" customWidth="1"/>
    <col min="1289" max="1538" width="9.140625" style="152"/>
    <col min="1539" max="1539" width="12.140625" style="152" customWidth="1"/>
    <col min="1540" max="1540" width="60.28515625" style="152" customWidth="1"/>
    <col min="1541" max="1541" width="22.85546875" style="152" customWidth="1"/>
    <col min="1542" max="1542" width="21.7109375" style="152" customWidth="1"/>
    <col min="1543" max="1544" width="25.140625" style="152" customWidth="1"/>
    <col min="1545" max="1794" width="9.140625" style="152"/>
    <col min="1795" max="1795" width="12.140625" style="152" customWidth="1"/>
    <col min="1796" max="1796" width="60.28515625" style="152" customWidth="1"/>
    <col min="1797" max="1797" width="22.85546875" style="152" customWidth="1"/>
    <col min="1798" max="1798" width="21.7109375" style="152" customWidth="1"/>
    <col min="1799" max="1800" width="25.140625" style="152" customWidth="1"/>
    <col min="1801" max="2050" width="9.140625" style="152"/>
    <col min="2051" max="2051" width="12.140625" style="152" customWidth="1"/>
    <col min="2052" max="2052" width="60.28515625" style="152" customWidth="1"/>
    <col min="2053" max="2053" width="22.85546875" style="152" customWidth="1"/>
    <col min="2054" max="2054" width="21.7109375" style="152" customWidth="1"/>
    <col min="2055" max="2056" width="25.140625" style="152" customWidth="1"/>
    <col min="2057" max="2306" width="9.140625" style="152"/>
    <col min="2307" max="2307" width="12.140625" style="152" customWidth="1"/>
    <col min="2308" max="2308" width="60.28515625" style="152" customWidth="1"/>
    <col min="2309" max="2309" width="22.85546875" style="152" customWidth="1"/>
    <col min="2310" max="2310" width="21.7109375" style="152" customWidth="1"/>
    <col min="2311" max="2312" width="25.140625" style="152" customWidth="1"/>
    <col min="2313" max="2562" width="9.140625" style="152"/>
    <col min="2563" max="2563" width="12.140625" style="152" customWidth="1"/>
    <col min="2564" max="2564" width="60.28515625" style="152" customWidth="1"/>
    <col min="2565" max="2565" width="22.85546875" style="152" customWidth="1"/>
    <col min="2566" max="2566" width="21.7109375" style="152" customWidth="1"/>
    <col min="2567" max="2568" width="25.140625" style="152" customWidth="1"/>
    <col min="2569" max="2818" width="9.140625" style="152"/>
    <col min="2819" max="2819" width="12.140625" style="152" customWidth="1"/>
    <col min="2820" max="2820" width="60.28515625" style="152" customWidth="1"/>
    <col min="2821" max="2821" width="22.85546875" style="152" customWidth="1"/>
    <col min="2822" max="2822" width="21.7109375" style="152" customWidth="1"/>
    <col min="2823" max="2824" width="25.140625" style="152" customWidth="1"/>
    <col min="2825" max="3074" width="9.140625" style="152"/>
    <col min="3075" max="3075" width="12.140625" style="152" customWidth="1"/>
    <col min="3076" max="3076" width="60.28515625" style="152" customWidth="1"/>
    <col min="3077" max="3077" width="22.85546875" style="152" customWidth="1"/>
    <col min="3078" max="3078" width="21.7109375" style="152" customWidth="1"/>
    <col min="3079" max="3080" width="25.140625" style="152" customWidth="1"/>
    <col min="3081" max="3330" width="9.140625" style="152"/>
    <col min="3331" max="3331" width="12.140625" style="152" customWidth="1"/>
    <col min="3332" max="3332" width="60.28515625" style="152" customWidth="1"/>
    <col min="3333" max="3333" width="22.85546875" style="152" customWidth="1"/>
    <col min="3334" max="3334" width="21.7109375" style="152" customWidth="1"/>
    <col min="3335" max="3336" width="25.140625" style="152" customWidth="1"/>
    <col min="3337" max="3586" width="9.140625" style="152"/>
    <col min="3587" max="3587" width="12.140625" style="152" customWidth="1"/>
    <col min="3588" max="3588" width="60.28515625" style="152" customWidth="1"/>
    <col min="3589" max="3589" width="22.85546875" style="152" customWidth="1"/>
    <col min="3590" max="3590" width="21.7109375" style="152" customWidth="1"/>
    <col min="3591" max="3592" width="25.140625" style="152" customWidth="1"/>
    <col min="3593" max="3842" width="9.140625" style="152"/>
    <col min="3843" max="3843" width="12.140625" style="152" customWidth="1"/>
    <col min="3844" max="3844" width="60.28515625" style="152" customWidth="1"/>
    <col min="3845" max="3845" width="22.85546875" style="152" customWidth="1"/>
    <col min="3846" max="3846" width="21.7109375" style="152" customWidth="1"/>
    <col min="3847" max="3848" width="25.140625" style="152" customWidth="1"/>
    <col min="3849" max="4098" width="9.140625" style="152"/>
    <col min="4099" max="4099" width="12.140625" style="152" customWidth="1"/>
    <col min="4100" max="4100" width="60.28515625" style="152" customWidth="1"/>
    <col min="4101" max="4101" width="22.85546875" style="152" customWidth="1"/>
    <col min="4102" max="4102" width="21.7109375" style="152" customWidth="1"/>
    <col min="4103" max="4104" width="25.140625" style="152" customWidth="1"/>
    <col min="4105" max="4354" width="9.140625" style="152"/>
    <col min="4355" max="4355" width="12.140625" style="152" customWidth="1"/>
    <col min="4356" max="4356" width="60.28515625" style="152" customWidth="1"/>
    <col min="4357" max="4357" width="22.85546875" style="152" customWidth="1"/>
    <col min="4358" max="4358" width="21.7109375" style="152" customWidth="1"/>
    <col min="4359" max="4360" width="25.140625" style="152" customWidth="1"/>
    <col min="4361" max="4610" width="9.140625" style="152"/>
    <col min="4611" max="4611" width="12.140625" style="152" customWidth="1"/>
    <col min="4612" max="4612" width="60.28515625" style="152" customWidth="1"/>
    <col min="4613" max="4613" width="22.85546875" style="152" customWidth="1"/>
    <col min="4614" max="4614" width="21.7109375" style="152" customWidth="1"/>
    <col min="4615" max="4616" width="25.140625" style="152" customWidth="1"/>
    <col min="4617" max="4866" width="9.140625" style="152"/>
    <col min="4867" max="4867" width="12.140625" style="152" customWidth="1"/>
    <col min="4868" max="4868" width="60.28515625" style="152" customWidth="1"/>
    <col min="4869" max="4869" width="22.85546875" style="152" customWidth="1"/>
    <col min="4870" max="4870" width="21.7109375" style="152" customWidth="1"/>
    <col min="4871" max="4872" width="25.140625" style="152" customWidth="1"/>
    <col min="4873" max="5122" width="9.140625" style="152"/>
    <col min="5123" max="5123" width="12.140625" style="152" customWidth="1"/>
    <col min="5124" max="5124" width="60.28515625" style="152" customWidth="1"/>
    <col min="5125" max="5125" width="22.85546875" style="152" customWidth="1"/>
    <col min="5126" max="5126" width="21.7109375" style="152" customWidth="1"/>
    <col min="5127" max="5128" width="25.140625" style="152" customWidth="1"/>
    <col min="5129" max="5378" width="9.140625" style="152"/>
    <col min="5379" max="5379" width="12.140625" style="152" customWidth="1"/>
    <col min="5380" max="5380" width="60.28515625" style="152" customWidth="1"/>
    <col min="5381" max="5381" width="22.85546875" style="152" customWidth="1"/>
    <col min="5382" max="5382" width="21.7109375" style="152" customWidth="1"/>
    <col min="5383" max="5384" width="25.140625" style="152" customWidth="1"/>
    <col min="5385" max="5634" width="9.140625" style="152"/>
    <col min="5635" max="5635" width="12.140625" style="152" customWidth="1"/>
    <col min="5636" max="5636" width="60.28515625" style="152" customWidth="1"/>
    <col min="5637" max="5637" width="22.85546875" style="152" customWidth="1"/>
    <col min="5638" max="5638" width="21.7109375" style="152" customWidth="1"/>
    <col min="5639" max="5640" width="25.140625" style="152" customWidth="1"/>
    <col min="5641" max="5890" width="9.140625" style="152"/>
    <col min="5891" max="5891" width="12.140625" style="152" customWidth="1"/>
    <col min="5892" max="5892" width="60.28515625" style="152" customWidth="1"/>
    <col min="5893" max="5893" width="22.85546875" style="152" customWidth="1"/>
    <col min="5894" max="5894" width="21.7109375" style="152" customWidth="1"/>
    <col min="5895" max="5896" width="25.140625" style="152" customWidth="1"/>
    <col min="5897" max="6146" width="9.140625" style="152"/>
    <col min="6147" max="6147" width="12.140625" style="152" customWidth="1"/>
    <col min="6148" max="6148" width="60.28515625" style="152" customWidth="1"/>
    <col min="6149" max="6149" width="22.85546875" style="152" customWidth="1"/>
    <col min="6150" max="6150" width="21.7109375" style="152" customWidth="1"/>
    <col min="6151" max="6152" width="25.140625" style="152" customWidth="1"/>
    <col min="6153" max="6402" width="9.140625" style="152"/>
    <col min="6403" max="6403" width="12.140625" style="152" customWidth="1"/>
    <col min="6404" max="6404" width="60.28515625" style="152" customWidth="1"/>
    <col min="6405" max="6405" width="22.85546875" style="152" customWidth="1"/>
    <col min="6406" max="6406" width="21.7109375" style="152" customWidth="1"/>
    <col min="6407" max="6408" width="25.140625" style="152" customWidth="1"/>
    <col min="6409" max="6658" width="9.140625" style="152"/>
    <col min="6659" max="6659" width="12.140625" style="152" customWidth="1"/>
    <col min="6660" max="6660" width="60.28515625" style="152" customWidth="1"/>
    <col min="6661" max="6661" width="22.85546875" style="152" customWidth="1"/>
    <col min="6662" max="6662" width="21.7109375" style="152" customWidth="1"/>
    <col min="6663" max="6664" width="25.140625" style="152" customWidth="1"/>
    <col min="6665" max="6914" width="9.140625" style="152"/>
    <col min="6915" max="6915" width="12.140625" style="152" customWidth="1"/>
    <col min="6916" max="6916" width="60.28515625" style="152" customWidth="1"/>
    <col min="6917" max="6917" width="22.85546875" style="152" customWidth="1"/>
    <col min="6918" max="6918" width="21.7109375" style="152" customWidth="1"/>
    <col min="6919" max="6920" width="25.140625" style="152" customWidth="1"/>
    <col min="6921" max="7170" width="9.140625" style="152"/>
    <col min="7171" max="7171" width="12.140625" style="152" customWidth="1"/>
    <col min="7172" max="7172" width="60.28515625" style="152" customWidth="1"/>
    <col min="7173" max="7173" width="22.85546875" style="152" customWidth="1"/>
    <col min="7174" max="7174" width="21.7109375" style="152" customWidth="1"/>
    <col min="7175" max="7176" width="25.140625" style="152" customWidth="1"/>
    <col min="7177" max="7426" width="9.140625" style="152"/>
    <col min="7427" max="7427" width="12.140625" style="152" customWidth="1"/>
    <col min="7428" max="7428" width="60.28515625" style="152" customWidth="1"/>
    <col min="7429" max="7429" width="22.85546875" style="152" customWidth="1"/>
    <col min="7430" max="7430" width="21.7109375" style="152" customWidth="1"/>
    <col min="7431" max="7432" width="25.140625" style="152" customWidth="1"/>
    <col min="7433" max="7682" width="9.140625" style="152"/>
    <col min="7683" max="7683" width="12.140625" style="152" customWidth="1"/>
    <col min="7684" max="7684" width="60.28515625" style="152" customWidth="1"/>
    <col min="7685" max="7685" width="22.85546875" style="152" customWidth="1"/>
    <col min="7686" max="7686" width="21.7109375" style="152" customWidth="1"/>
    <col min="7687" max="7688" width="25.140625" style="152" customWidth="1"/>
    <col min="7689" max="7938" width="9.140625" style="152"/>
    <col min="7939" max="7939" width="12.140625" style="152" customWidth="1"/>
    <col min="7940" max="7940" width="60.28515625" style="152" customWidth="1"/>
    <col min="7941" max="7941" width="22.85546875" style="152" customWidth="1"/>
    <col min="7942" max="7942" width="21.7109375" style="152" customWidth="1"/>
    <col min="7943" max="7944" width="25.140625" style="152" customWidth="1"/>
    <col min="7945" max="8194" width="9.140625" style="152"/>
    <col min="8195" max="8195" width="12.140625" style="152" customWidth="1"/>
    <col min="8196" max="8196" width="60.28515625" style="152" customWidth="1"/>
    <col min="8197" max="8197" width="22.85546875" style="152" customWidth="1"/>
    <col min="8198" max="8198" width="21.7109375" style="152" customWidth="1"/>
    <col min="8199" max="8200" width="25.140625" style="152" customWidth="1"/>
    <col min="8201" max="8450" width="9.140625" style="152"/>
    <col min="8451" max="8451" width="12.140625" style="152" customWidth="1"/>
    <col min="8452" max="8452" width="60.28515625" style="152" customWidth="1"/>
    <col min="8453" max="8453" width="22.85546875" style="152" customWidth="1"/>
    <col min="8454" max="8454" width="21.7109375" style="152" customWidth="1"/>
    <col min="8455" max="8456" width="25.140625" style="152" customWidth="1"/>
    <col min="8457" max="8706" width="9.140625" style="152"/>
    <col min="8707" max="8707" width="12.140625" style="152" customWidth="1"/>
    <col min="8708" max="8708" width="60.28515625" style="152" customWidth="1"/>
    <col min="8709" max="8709" width="22.85546875" style="152" customWidth="1"/>
    <col min="8710" max="8710" width="21.7109375" style="152" customWidth="1"/>
    <col min="8711" max="8712" width="25.140625" style="152" customWidth="1"/>
    <col min="8713" max="8962" width="9.140625" style="152"/>
    <col min="8963" max="8963" width="12.140625" style="152" customWidth="1"/>
    <col min="8964" max="8964" width="60.28515625" style="152" customWidth="1"/>
    <col min="8965" max="8965" width="22.85546875" style="152" customWidth="1"/>
    <col min="8966" max="8966" width="21.7109375" style="152" customWidth="1"/>
    <col min="8967" max="8968" width="25.140625" style="152" customWidth="1"/>
    <col min="8969" max="9218" width="9.140625" style="152"/>
    <col min="9219" max="9219" width="12.140625" style="152" customWidth="1"/>
    <col min="9220" max="9220" width="60.28515625" style="152" customWidth="1"/>
    <col min="9221" max="9221" width="22.85546875" style="152" customWidth="1"/>
    <col min="9222" max="9222" width="21.7109375" style="152" customWidth="1"/>
    <col min="9223" max="9224" width="25.140625" style="152" customWidth="1"/>
    <col min="9225" max="9474" width="9.140625" style="152"/>
    <col min="9475" max="9475" width="12.140625" style="152" customWidth="1"/>
    <col min="9476" max="9476" width="60.28515625" style="152" customWidth="1"/>
    <col min="9477" max="9477" width="22.85546875" style="152" customWidth="1"/>
    <col min="9478" max="9478" width="21.7109375" style="152" customWidth="1"/>
    <col min="9479" max="9480" width="25.140625" style="152" customWidth="1"/>
    <col min="9481" max="9730" width="9.140625" style="152"/>
    <col min="9731" max="9731" width="12.140625" style="152" customWidth="1"/>
    <col min="9732" max="9732" width="60.28515625" style="152" customWidth="1"/>
    <col min="9733" max="9733" width="22.85546875" style="152" customWidth="1"/>
    <col min="9734" max="9734" width="21.7109375" style="152" customWidth="1"/>
    <col min="9735" max="9736" width="25.140625" style="152" customWidth="1"/>
    <col min="9737" max="9986" width="9.140625" style="152"/>
    <col min="9987" max="9987" width="12.140625" style="152" customWidth="1"/>
    <col min="9988" max="9988" width="60.28515625" style="152" customWidth="1"/>
    <col min="9989" max="9989" width="22.85546875" style="152" customWidth="1"/>
    <col min="9990" max="9990" width="21.7109375" style="152" customWidth="1"/>
    <col min="9991" max="9992" width="25.140625" style="152" customWidth="1"/>
    <col min="9993" max="10242" width="9.140625" style="152"/>
    <col min="10243" max="10243" width="12.140625" style="152" customWidth="1"/>
    <col min="10244" max="10244" width="60.28515625" style="152" customWidth="1"/>
    <col min="10245" max="10245" width="22.85546875" style="152" customWidth="1"/>
    <col min="10246" max="10246" width="21.7109375" style="152" customWidth="1"/>
    <col min="10247" max="10248" width="25.140625" style="152" customWidth="1"/>
    <col min="10249" max="10498" width="9.140625" style="152"/>
    <col min="10499" max="10499" width="12.140625" style="152" customWidth="1"/>
    <col min="10500" max="10500" width="60.28515625" style="152" customWidth="1"/>
    <col min="10501" max="10501" width="22.85546875" style="152" customWidth="1"/>
    <col min="10502" max="10502" width="21.7109375" style="152" customWidth="1"/>
    <col min="10503" max="10504" width="25.140625" style="152" customWidth="1"/>
    <col min="10505" max="10754" width="9.140625" style="152"/>
    <col min="10755" max="10755" width="12.140625" style="152" customWidth="1"/>
    <col min="10756" max="10756" width="60.28515625" style="152" customWidth="1"/>
    <col min="10757" max="10757" width="22.85546875" style="152" customWidth="1"/>
    <col min="10758" max="10758" width="21.7109375" style="152" customWidth="1"/>
    <col min="10759" max="10760" width="25.140625" style="152" customWidth="1"/>
    <col min="10761" max="11010" width="9.140625" style="152"/>
    <col min="11011" max="11011" width="12.140625" style="152" customWidth="1"/>
    <col min="11012" max="11012" width="60.28515625" style="152" customWidth="1"/>
    <col min="11013" max="11013" width="22.85546875" style="152" customWidth="1"/>
    <col min="11014" max="11014" width="21.7109375" style="152" customWidth="1"/>
    <col min="11015" max="11016" width="25.140625" style="152" customWidth="1"/>
    <col min="11017" max="11266" width="9.140625" style="152"/>
    <col min="11267" max="11267" width="12.140625" style="152" customWidth="1"/>
    <col min="11268" max="11268" width="60.28515625" style="152" customWidth="1"/>
    <col min="11269" max="11269" width="22.85546875" style="152" customWidth="1"/>
    <col min="11270" max="11270" width="21.7109375" style="152" customWidth="1"/>
    <col min="11271" max="11272" width="25.140625" style="152" customWidth="1"/>
    <col min="11273" max="11522" width="9.140625" style="152"/>
    <col min="11523" max="11523" width="12.140625" style="152" customWidth="1"/>
    <col min="11524" max="11524" width="60.28515625" style="152" customWidth="1"/>
    <col min="11525" max="11525" width="22.85546875" style="152" customWidth="1"/>
    <col min="11526" max="11526" width="21.7109375" style="152" customWidth="1"/>
    <col min="11527" max="11528" width="25.140625" style="152" customWidth="1"/>
    <col min="11529" max="11778" width="9.140625" style="152"/>
    <col min="11779" max="11779" width="12.140625" style="152" customWidth="1"/>
    <col min="11780" max="11780" width="60.28515625" style="152" customWidth="1"/>
    <col min="11781" max="11781" width="22.85546875" style="152" customWidth="1"/>
    <col min="11782" max="11782" width="21.7109375" style="152" customWidth="1"/>
    <col min="11783" max="11784" width="25.140625" style="152" customWidth="1"/>
    <col min="11785" max="12034" width="9.140625" style="152"/>
    <col min="12035" max="12035" width="12.140625" style="152" customWidth="1"/>
    <col min="12036" max="12036" width="60.28515625" style="152" customWidth="1"/>
    <col min="12037" max="12037" width="22.85546875" style="152" customWidth="1"/>
    <col min="12038" max="12038" width="21.7109375" style="152" customWidth="1"/>
    <col min="12039" max="12040" width="25.140625" style="152" customWidth="1"/>
    <col min="12041" max="12290" width="9.140625" style="152"/>
    <col min="12291" max="12291" width="12.140625" style="152" customWidth="1"/>
    <col min="12292" max="12292" width="60.28515625" style="152" customWidth="1"/>
    <col min="12293" max="12293" width="22.85546875" style="152" customWidth="1"/>
    <col min="12294" max="12294" width="21.7109375" style="152" customWidth="1"/>
    <col min="12295" max="12296" width="25.140625" style="152" customWidth="1"/>
    <col min="12297" max="12546" width="9.140625" style="152"/>
    <col min="12547" max="12547" width="12.140625" style="152" customWidth="1"/>
    <col min="12548" max="12548" width="60.28515625" style="152" customWidth="1"/>
    <col min="12549" max="12549" width="22.85546875" style="152" customWidth="1"/>
    <col min="12550" max="12550" width="21.7109375" style="152" customWidth="1"/>
    <col min="12551" max="12552" width="25.140625" style="152" customWidth="1"/>
    <col min="12553" max="12802" width="9.140625" style="152"/>
    <col min="12803" max="12803" width="12.140625" style="152" customWidth="1"/>
    <col min="12804" max="12804" width="60.28515625" style="152" customWidth="1"/>
    <col min="12805" max="12805" width="22.85546875" style="152" customWidth="1"/>
    <col min="12806" max="12806" width="21.7109375" style="152" customWidth="1"/>
    <col min="12807" max="12808" width="25.140625" style="152" customWidth="1"/>
    <col min="12809" max="13058" width="9.140625" style="152"/>
    <col min="13059" max="13059" width="12.140625" style="152" customWidth="1"/>
    <col min="13060" max="13060" width="60.28515625" style="152" customWidth="1"/>
    <col min="13061" max="13061" width="22.85546875" style="152" customWidth="1"/>
    <col min="13062" max="13062" width="21.7109375" style="152" customWidth="1"/>
    <col min="13063" max="13064" width="25.140625" style="152" customWidth="1"/>
    <col min="13065" max="13314" width="9.140625" style="152"/>
    <col min="13315" max="13315" width="12.140625" style="152" customWidth="1"/>
    <col min="13316" max="13316" width="60.28515625" style="152" customWidth="1"/>
    <col min="13317" max="13317" width="22.85546875" style="152" customWidth="1"/>
    <col min="13318" max="13318" width="21.7109375" style="152" customWidth="1"/>
    <col min="13319" max="13320" width="25.140625" style="152" customWidth="1"/>
    <col min="13321" max="13570" width="9.140625" style="152"/>
    <col min="13571" max="13571" width="12.140625" style="152" customWidth="1"/>
    <col min="13572" max="13572" width="60.28515625" style="152" customWidth="1"/>
    <col min="13573" max="13573" width="22.85546875" style="152" customWidth="1"/>
    <col min="13574" max="13574" width="21.7109375" style="152" customWidth="1"/>
    <col min="13575" max="13576" width="25.140625" style="152" customWidth="1"/>
    <col min="13577" max="13826" width="9.140625" style="152"/>
    <col min="13827" max="13827" width="12.140625" style="152" customWidth="1"/>
    <col min="13828" max="13828" width="60.28515625" style="152" customWidth="1"/>
    <col min="13829" max="13829" width="22.85546875" style="152" customWidth="1"/>
    <col min="13830" max="13830" width="21.7109375" style="152" customWidth="1"/>
    <col min="13831" max="13832" width="25.140625" style="152" customWidth="1"/>
    <col min="13833" max="14082" width="9.140625" style="152"/>
    <col min="14083" max="14083" width="12.140625" style="152" customWidth="1"/>
    <col min="14084" max="14084" width="60.28515625" style="152" customWidth="1"/>
    <col min="14085" max="14085" width="22.85546875" style="152" customWidth="1"/>
    <col min="14086" max="14086" width="21.7109375" style="152" customWidth="1"/>
    <col min="14087" max="14088" width="25.140625" style="152" customWidth="1"/>
    <col min="14089" max="14338" width="9.140625" style="152"/>
    <col min="14339" max="14339" width="12.140625" style="152" customWidth="1"/>
    <col min="14340" max="14340" width="60.28515625" style="152" customWidth="1"/>
    <col min="14341" max="14341" width="22.85546875" style="152" customWidth="1"/>
    <col min="14342" max="14342" width="21.7109375" style="152" customWidth="1"/>
    <col min="14343" max="14344" width="25.140625" style="152" customWidth="1"/>
    <col min="14345" max="14594" width="9.140625" style="152"/>
    <col min="14595" max="14595" width="12.140625" style="152" customWidth="1"/>
    <col min="14596" max="14596" width="60.28515625" style="152" customWidth="1"/>
    <col min="14597" max="14597" width="22.85546875" style="152" customWidth="1"/>
    <col min="14598" max="14598" width="21.7109375" style="152" customWidth="1"/>
    <col min="14599" max="14600" width="25.140625" style="152" customWidth="1"/>
    <col min="14601" max="14850" width="9.140625" style="152"/>
    <col min="14851" max="14851" width="12.140625" style="152" customWidth="1"/>
    <col min="14852" max="14852" width="60.28515625" style="152" customWidth="1"/>
    <col min="14853" max="14853" width="22.85546875" style="152" customWidth="1"/>
    <col min="14854" max="14854" width="21.7109375" style="152" customWidth="1"/>
    <col min="14855" max="14856" width="25.140625" style="152" customWidth="1"/>
    <col min="14857" max="15106" width="9.140625" style="152"/>
    <col min="15107" max="15107" width="12.140625" style="152" customWidth="1"/>
    <col min="15108" max="15108" width="60.28515625" style="152" customWidth="1"/>
    <col min="15109" max="15109" width="22.85546875" style="152" customWidth="1"/>
    <col min="15110" max="15110" width="21.7109375" style="152" customWidth="1"/>
    <col min="15111" max="15112" width="25.140625" style="152" customWidth="1"/>
    <col min="15113" max="15362" width="9.140625" style="152"/>
    <col min="15363" max="15363" width="12.140625" style="152" customWidth="1"/>
    <col min="15364" max="15364" width="60.28515625" style="152" customWidth="1"/>
    <col min="15365" max="15365" width="22.85546875" style="152" customWidth="1"/>
    <col min="15366" max="15366" width="21.7109375" style="152" customWidth="1"/>
    <col min="15367" max="15368" width="25.140625" style="152" customWidth="1"/>
    <col min="15369" max="15618" width="9.140625" style="152"/>
    <col min="15619" max="15619" width="12.140625" style="152" customWidth="1"/>
    <col min="15620" max="15620" width="60.28515625" style="152" customWidth="1"/>
    <col min="15621" max="15621" width="22.85546875" style="152" customWidth="1"/>
    <col min="15622" max="15622" width="21.7109375" style="152" customWidth="1"/>
    <col min="15623" max="15624" width="25.140625" style="152" customWidth="1"/>
    <col min="15625" max="15874" width="9.140625" style="152"/>
    <col min="15875" max="15875" width="12.140625" style="152" customWidth="1"/>
    <col min="15876" max="15876" width="60.28515625" style="152" customWidth="1"/>
    <col min="15877" max="15877" width="22.85546875" style="152" customWidth="1"/>
    <col min="15878" max="15878" width="21.7109375" style="152" customWidth="1"/>
    <col min="15879" max="15880" width="25.140625" style="152" customWidth="1"/>
    <col min="15881" max="16130" width="9.140625" style="152"/>
    <col min="16131" max="16131" width="12.140625" style="152" customWidth="1"/>
    <col min="16132" max="16132" width="60.28515625" style="152" customWidth="1"/>
    <col min="16133" max="16133" width="22.85546875" style="152" customWidth="1"/>
    <col min="16134" max="16134" width="21.7109375" style="152" customWidth="1"/>
    <col min="16135" max="16136" width="25.140625" style="152" customWidth="1"/>
    <col min="16137" max="16384" width="9.140625" style="152"/>
  </cols>
  <sheetData>
    <row r="1" spans="1:16" ht="13.5" thickBot="1" x14ac:dyDescent="0.25">
      <c r="A1" s="390" t="str">
        <f>'Planilha orçamentária'!A2:I2</f>
        <v>timbrado empresa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2"/>
    </row>
    <row r="2" spans="1:16" ht="13.5" customHeight="1" thickBot="1" x14ac:dyDescent="0.25">
      <c r="A2" s="390">
        <f>'Planilha orçamentária'!A3:I3</f>
        <v>0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2"/>
    </row>
    <row r="3" spans="1:16" ht="12.75" customHeight="1" thickBot="1" x14ac:dyDescent="0.25">
      <c r="A3" s="390">
        <f>'Planilha orçamentária'!A4:I4</f>
        <v>0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2"/>
    </row>
    <row r="4" spans="1:16" ht="12.75" customHeight="1" thickBot="1" x14ac:dyDescent="0.25">
      <c r="A4" s="390">
        <f>'Planilha orçamentária'!A5:I5</f>
        <v>0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2"/>
    </row>
    <row r="5" spans="1:16" ht="12.75" customHeight="1" thickBot="1" x14ac:dyDescent="0.25">
      <c r="A5" s="390">
        <f>'Planilha orçamentária'!A6:I6</f>
        <v>0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2"/>
    </row>
    <row r="6" spans="1:16" ht="12.75" customHeight="1" x14ac:dyDescent="0.2">
      <c r="A6" s="390"/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2"/>
    </row>
    <row r="7" spans="1:16" ht="5.25" customHeight="1" thickBot="1" x14ac:dyDescent="0.25"/>
    <row r="8" spans="1:16" ht="16.5" thickBot="1" x14ac:dyDescent="0.3">
      <c r="A8" s="364" t="s">
        <v>72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6"/>
    </row>
    <row r="9" spans="1:16" ht="8.1" customHeight="1" x14ac:dyDescent="0.2">
      <c r="A9" s="367" t="s">
        <v>73</v>
      </c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9"/>
    </row>
    <row r="10" spans="1:16" ht="15" customHeight="1" thickBot="1" x14ac:dyDescent="0.25">
      <c r="A10" s="370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2"/>
    </row>
    <row r="11" spans="1:16" ht="25.5" customHeight="1" thickBot="1" x14ac:dyDescent="0.25">
      <c r="A11" s="373" t="str">
        <f>'Planilha orçamentária'!A11</f>
        <v>CONVENENTE: DESTERRO DO MELO-MG</v>
      </c>
      <c r="B11" s="374"/>
      <c r="C11" s="375"/>
      <c r="D11" s="376" t="s">
        <v>74</v>
      </c>
      <c r="E11" s="377"/>
      <c r="F11" s="378">
        <f>'Planilha orçamentária'!I87</f>
        <v>547198.31000000006</v>
      </c>
      <c r="G11" s="374"/>
      <c r="H11" s="375"/>
      <c r="I11" s="379" t="str">
        <f>'Planilha orçamentária'!G13</f>
        <v>DATA: 22/04/2025</v>
      </c>
      <c r="J11" s="377"/>
      <c r="K11" s="377"/>
      <c r="L11" s="377"/>
      <c r="M11" s="377"/>
      <c r="N11" s="380"/>
    </row>
    <row r="12" spans="1:16" ht="28.5" customHeight="1" thickBot="1" x14ac:dyDescent="0.25">
      <c r="A12" s="381" t="str">
        <f>'Planilha orçamentária'!A12</f>
        <v>OBJETO: CALÇAMENTO DE VIAS RURAIS</v>
      </c>
      <c r="B12" s="382"/>
      <c r="C12" s="383"/>
      <c r="D12" s="384" t="str">
        <f>'Planilha orçamentária'!A13</f>
        <v>LOCAL:  MORRO DO JOÃO SAPO, TITO II, MORRO DO JOILSON E DO FÉLIX</v>
      </c>
      <c r="E12" s="385"/>
      <c r="F12" s="385"/>
      <c r="G12" s="385"/>
      <c r="H12" s="386"/>
      <c r="I12" s="387" t="str">
        <f>'Planilha orçamentária'!A16</f>
        <v>PRAZO DE EXECUÇÃO: 4 (QUATRO) MESES</v>
      </c>
      <c r="J12" s="388"/>
      <c r="K12" s="388"/>
      <c r="L12" s="388"/>
      <c r="M12" s="388"/>
      <c r="N12" s="389"/>
    </row>
    <row r="13" spans="1:16" ht="25.5" x14ac:dyDescent="0.2">
      <c r="A13" s="153" t="s">
        <v>4</v>
      </c>
      <c r="B13" s="154" t="s">
        <v>75</v>
      </c>
      <c r="C13" s="155" t="s">
        <v>76</v>
      </c>
      <c r="D13" s="155" t="s">
        <v>77</v>
      </c>
      <c r="E13" s="156" t="s">
        <v>78</v>
      </c>
      <c r="F13" s="156" t="s">
        <v>79</v>
      </c>
      <c r="G13" s="156" t="s">
        <v>80</v>
      </c>
      <c r="H13" s="156" t="s">
        <v>81</v>
      </c>
      <c r="I13" s="156" t="s">
        <v>82</v>
      </c>
      <c r="J13" s="156" t="s">
        <v>83</v>
      </c>
      <c r="K13" s="156" t="s">
        <v>84</v>
      </c>
      <c r="L13" s="157" t="s">
        <v>85</v>
      </c>
      <c r="M13" s="157" t="s">
        <v>90</v>
      </c>
      <c r="N13" s="157" t="s">
        <v>91</v>
      </c>
    </row>
    <row r="14" spans="1:16" x14ac:dyDescent="0.2">
      <c r="A14" s="360" t="str">
        <f>'Planilha orçamentária'!A20</f>
        <v>1.0</v>
      </c>
      <c r="B14" s="362" t="str">
        <f>'Planilha orçamentária'!D20</f>
        <v>MORRO DO JOÃO SAPO</v>
      </c>
      <c r="C14" s="158" t="s">
        <v>86</v>
      </c>
      <c r="D14" s="159">
        <f>D15/$D$23</f>
        <v>0.19470000000000001</v>
      </c>
      <c r="E14" s="160">
        <v>1</v>
      </c>
      <c r="F14" s="160"/>
      <c r="G14" s="160"/>
      <c r="H14" s="160"/>
      <c r="I14" s="160"/>
      <c r="J14" s="160"/>
      <c r="K14" s="160"/>
      <c r="L14" s="214"/>
      <c r="M14" s="214"/>
      <c r="N14" s="161"/>
      <c r="O14" s="162">
        <f>SUM(E14:N14)</f>
        <v>1</v>
      </c>
    </row>
    <row r="15" spans="1:16" x14ac:dyDescent="0.2">
      <c r="A15" s="361"/>
      <c r="B15" s="363"/>
      <c r="C15" s="163" t="s">
        <v>87</v>
      </c>
      <c r="D15" s="164">
        <f>'Planilha orçamentária'!I20</f>
        <v>106544.17</v>
      </c>
      <c r="E15" s="165">
        <f>ROUND(E14*D15,2)</f>
        <v>106544.17</v>
      </c>
      <c r="F15" s="165"/>
      <c r="G15" s="165"/>
      <c r="H15" s="165"/>
      <c r="I15" s="165"/>
      <c r="J15" s="165"/>
      <c r="K15" s="165"/>
      <c r="L15" s="170"/>
      <c r="M15" s="170"/>
      <c r="N15" s="166"/>
      <c r="O15" s="167">
        <f t="shared" ref="O15:O21" si="0">SUM(E15:N15)</f>
        <v>106544.17</v>
      </c>
      <c r="P15" s="152" t="str">
        <f>IF(O15=D15,"ok","não")</f>
        <v>ok</v>
      </c>
    </row>
    <row r="16" spans="1:16" x14ac:dyDescent="0.2">
      <c r="A16" s="360" t="str">
        <f>'Planilha orçamentária'!A41</f>
        <v>2.0</v>
      </c>
      <c r="B16" s="362" t="str">
        <f>'Planilha orçamentária'!D41</f>
        <v>MORRO DO JOILSON</v>
      </c>
      <c r="C16" s="158" t="s">
        <v>86</v>
      </c>
      <c r="D16" s="159">
        <f>D17/$D$23</f>
        <v>0.3639</v>
      </c>
      <c r="E16" s="160"/>
      <c r="F16" s="160">
        <v>0.6</v>
      </c>
      <c r="G16" s="160">
        <v>0.4</v>
      </c>
      <c r="H16" s="160"/>
      <c r="I16" s="160"/>
      <c r="J16" s="160"/>
      <c r="K16" s="160"/>
      <c r="L16" s="214"/>
      <c r="M16" s="214"/>
      <c r="N16" s="161"/>
      <c r="O16" s="162">
        <f t="shared" si="0"/>
        <v>1</v>
      </c>
      <c r="P16" s="152" t="str">
        <f t="shared" ref="P16:P22" si="1">IF(O16=D16,"ok","não")</f>
        <v>não</v>
      </c>
    </row>
    <row r="17" spans="1:16" x14ac:dyDescent="0.2">
      <c r="A17" s="361"/>
      <c r="B17" s="363"/>
      <c r="C17" s="163" t="s">
        <v>87</v>
      </c>
      <c r="D17" s="168">
        <f>'Planilha orçamentária'!I41</f>
        <v>199147.05</v>
      </c>
      <c r="E17" s="165">
        <f>ROUND(E16*$D$17,2)</f>
        <v>0</v>
      </c>
      <c r="F17" s="165">
        <f t="shared" ref="F17:H17" si="2">ROUND(F16*$D$17,2)</f>
        <v>119488.23</v>
      </c>
      <c r="G17" s="165">
        <f t="shared" si="2"/>
        <v>79658.820000000007</v>
      </c>
      <c r="H17" s="165">
        <f t="shared" si="2"/>
        <v>0</v>
      </c>
      <c r="I17" s="165"/>
      <c r="J17" s="165"/>
      <c r="K17" s="165"/>
      <c r="L17" s="165"/>
      <c r="M17" s="165"/>
      <c r="N17" s="165"/>
      <c r="O17" s="167">
        <f t="shared" si="0"/>
        <v>199147.05</v>
      </c>
      <c r="P17" s="152" t="str">
        <f t="shared" si="1"/>
        <v>ok</v>
      </c>
    </row>
    <row r="18" spans="1:16" ht="13.9" customHeight="1" x14ac:dyDescent="0.2">
      <c r="A18" s="360" t="str">
        <f>'Planilha orçamentária'!A57</f>
        <v>3.0</v>
      </c>
      <c r="B18" s="362" t="str">
        <f>'Planilha orçamentária'!D57</f>
        <v>MORRO DO FELIX</v>
      </c>
      <c r="C18" s="158" t="s">
        <v>86</v>
      </c>
      <c r="D18" s="159">
        <f>D19/$D$23</f>
        <v>0.1459</v>
      </c>
      <c r="E18" s="160"/>
      <c r="F18" s="160"/>
      <c r="G18" s="160">
        <v>0.5</v>
      </c>
      <c r="H18" s="160">
        <v>0.5</v>
      </c>
      <c r="I18" s="160"/>
      <c r="J18" s="160"/>
      <c r="K18" s="160"/>
      <c r="L18" s="214"/>
      <c r="M18" s="214"/>
      <c r="N18" s="161"/>
      <c r="O18" s="162">
        <f t="shared" si="0"/>
        <v>1</v>
      </c>
      <c r="P18" s="152" t="str">
        <f t="shared" si="1"/>
        <v>não</v>
      </c>
    </row>
    <row r="19" spans="1:16" x14ac:dyDescent="0.2">
      <c r="A19" s="361"/>
      <c r="B19" s="363"/>
      <c r="C19" s="163" t="s">
        <v>87</v>
      </c>
      <c r="D19" s="168">
        <f>'Planilha orçamentária'!I57</f>
        <v>79809.88</v>
      </c>
      <c r="E19" s="165">
        <f>ROUND(E18*$D$19,2)</f>
        <v>0</v>
      </c>
      <c r="F19" s="165">
        <f t="shared" ref="F19:H19" si="3">ROUND(F18*$D$19,2)</f>
        <v>0</v>
      </c>
      <c r="G19" s="165">
        <f t="shared" si="3"/>
        <v>39904.94</v>
      </c>
      <c r="H19" s="165">
        <f t="shared" si="3"/>
        <v>39904.94</v>
      </c>
      <c r="I19" s="165"/>
      <c r="J19" s="165"/>
      <c r="K19" s="165"/>
      <c r="L19" s="170"/>
      <c r="M19" s="170"/>
      <c r="N19" s="166"/>
      <c r="O19" s="167">
        <f t="shared" si="0"/>
        <v>79809.88</v>
      </c>
      <c r="P19" s="152" t="str">
        <f t="shared" si="1"/>
        <v>ok</v>
      </c>
    </row>
    <row r="20" spans="1:16" ht="13.9" customHeight="1" x14ac:dyDescent="0.2">
      <c r="A20" s="360" t="str">
        <f>'Planilha orçamentária'!A68</f>
        <v>4.0</v>
      </c>
      <c r="B20" s="362" t="str">
        <f>'Planilha orçamentária'!D68</f>
        <v>MORRO DO TITO PART. II</v>
      </c>
      <c r="C20" s="158" t="s">
        <v>86</v>
      </c>
      <c r="D20" s="159">
        <f>D21/$D$23</f>
        <v>0.29549999999999998</v>
      </c>
      <c r="E20" s="160"/>
      <c r="F20" s="160"/>
      <c r="G20" s="160"/>
      <c r="H20" s="160">
        <v>0.4</v>
      </c>
      <c r="I20" s="160">
        <v>0.6</v>
      </c>
      <c r="J20" s="160"/>
      <c r="K20" s="160"/>
      <c r="L20" s="214"/>
      <c r="M20" s="214"/>
      <c r="N20" s="161"/>
      <c r="O20" s="162">
        <f t="shared" si="0"/>
        <v>1</v>
      </c>
      <c r="P20" s="152" t="str">
        <f t="shared" si="1"/>
        <v>não</v>
      </c>
    </row>
    <row r="21" spans="1:16" x14ac:dyDescent="0.2">
      <c r="A21" s="361"/>
      <c r="B21" s="363"/>
      <c r="C21" s="163" t="s">
        <v>87</v>
      </c>
      <c r="D21" s="168">
        <f>'Planilha orçamentária'!I68</f>
        <v>161697.21</v>
      </c>
      <c r="E21" s="165"/>
      <c r="F21" s="165">
        <f>ROUND(F20*$D$21,2)</f>
        <v>0</v>
      </c>
      <c r="G21" s="165">
        <f t="shared" ref="G21:I21" si="4">ROUND(G20*$D$21,2)</f>
        <v>0</v>
      </c>
      <c r="H21" s="165">
        <f t="shared" si="4"/>
        <v>64678.879999999997</v>
      </c>
      <c r="I21" s="165">
        <f t="shared" si="4"/>
        <v>97018.33</v>
      </c>
      <c r="J21" s="165"/>
      <c r="K21" s="165"/>
      <c r="L21" s="170"/>
      <c r="M21" s="170"/>
      <c r="N21" s="166"/>
      <c r="O21" s="167">
        <f>SUM(E21:N21)</f>
        <v>161697.21</v>
      </c>
      <c r="P21" s="152" t="str">
        <f t="shared" si="1"/>
        <v>ok</v>
      </c>
    </row>
    <row r="22" spans="1:16" x14ac:dyDescent="0.2">
      <c r="A22" s="353" t="s">
        <v>88</v>
      </c>
      <c r="B22" s="354"/>
      <c r="C22" s="171" t="s">
        <v>86</v>
      </c>
      <c r="D22" s="172">
        <f>D14+D16+D18+D20</f>
        <v>1</v>
      </c>
      <c r="E22" s="169">
        <f>(E15+E17+E19+E21)/$D$23</f>
        <v>0.19470000000000001</v>
      </c>
      <c r="F22" s="169">
        <f t="shared" ref="F22:I22" si="5">(F15+F17+F19+F21)/$D$23</f>
        <v>0.21840000000000001</v>
      </c>
      <c r="G22" s="169">
        <f t="shared" si="5"/>
        <v>0.2185</v>
      </c>
      <c r="H22" s="169">
        <f t="shared" si="5"/>
        <v>0.19109999999999999</v>
      </c>
      <c r="I22" s="169">
        <f t="shared" si="5"/>
        <v>0.17730000000000001</v>
      </c>
      <c r="J22" s="169"/>
      <c r="K22" s="169"/>
      <c r="L22" s="169"/>
      <c r="M22" s="169"/>
      <c r="N22" s="169"/>
      <c r="O22" s="162">
        <f>SUM(E22:N22)</f>
        <v>1</v>
      </c>
      <c r="P22" s="152" t="str">
        <f t="shared" si="1"/>
        <v>ok</v>
      </c>
    </row>
    <row r="23" spans="1:16" ht="13.5" thickBot="1" x14ac:dyDescent="0.25">
      <c r="A23" s="355"/>
      <c r="B23" s="356"/>
      <c r="C23" s="173" t="s">
        <v>87</v>
      </c>
      <c r="D23" s="174">
        <f>D15+D17+D19+D21</f>
        <v>547198.31000000006</v>
      </c>
      <c r="E23" s="215">
        <f>ROUND(E21+E19+E17+E15,2)</f>
        <v>106544.17</v>
      </c>
      <c r="F23" s="215">
        <f t="shared" ref="F23:I23" si="6">ROUND(F21+F19+F17+F15,2)</f>
        <v>119488.23</v>
      </c>
      <c r="G23" s="215">
        <f t="shared" si="6"/>
        <v>119563.76</v>
      </c>
      <c r="H23" s="215">
        <f t="shared" si="6"/>
        <v>104583.82</v>
      </c>
      <c r="I23" s="215">
        <f t="shared" si="6"/>
        <v>97018.33</v>
      </c>
      <c r="J23" s="215"/>
      <c r="K23" s="215"/>
      <c r="L23" s="215"/>
      <c r="M23" s="215"/>
      <c r="N23" s="215"/>
      <c r="O23" s="167">
        <f>SUM(E23:N23)</f>
        <v>547198.31000000006</v>
      </c>
      <c r="P23" s="152" t="str">
        <f>IF(O23=D23,"ok","não")</f>
        <v>ok</v>
      </c>
    </row>
    <row r="24" spans="1:16" ht="13.5" thickBot="1" x14ac:dyDescent="0.25">
      <c r="A24" s="175"/>
      <c r="B24" s="176"/>
      <c r="C24" s="177"/>
      <c r="D24" s="177"/>
      <c r="E24" s="176"/>
      <c r="F24" s="176"/>
      <c r="G24" s="176"/>
      <c r="H24" s="176"/>
      <c r="I24" s="176"/>
      <c r="J24" s="176"/>
      <c r="K24" s="176"/>
      <c r="L24" s="176"/>
      <c r="M24" s="176"/>
      <c r="N24" s="178"/>
    </row>
    <row r="25" spans="1:16" x14ac:dyDescent="0.2">
      <c r="A25" s="179"/>
      <c r="B25" s="180"/>
      <c r="C25" s="180"/>
      <c r="D25" s="180"/>
      <c r="E25" s="180"/>
      <c r="F25" s="181"/>
      <c r="G25" s="181"/>
      <c r="H25" s="181"/>
      <c r="I25" s="181"/>
      <c r="J25" s="181"/>
      <c r="K25" s="181"/>
      <c r="L25" s="181"/>
      <c r="M25" s="181"/>
      <c r="N25" s="182"/>
      <c r="O25" s="167"/>
    </row>
    <row r="26" spans="1:16" x14ac:dyDescent="0.2">
      <c r="A26" s="179"/>
      <c r="B26" s="183"/>
      <c r="C26" s="180"/>
      <c r="D26" s="357"/>
      <c r="E26" s="357"/>
      <c r="F26" s="184"/>
      <c r="G26" s="185"/>
      <c r="H26" s="184"/>
      <c r="I26" s="185"/>
      <c r="J26" s="184"/>
      <c r="K26" s="185"/>
      <c r="L26" s="185"/>
      <c r="M26" s="185"/>
      <c r="N26" s="186"/>
    </row>
    <row r="27" spans="1:16" ht="13.15" customHeight="1" x14ac:dyDescent="0.2">
      <c r="A27" s="187"/>
      <c r="B27" s="188" t="str">
        <f>'Planilha orçamentária'!C92</f>
        <v>R.T empresa</v>
      </c>
      <c r="C27" s="208" t="str">
        <f>'Planilha orçamentária'!F92</f>
        <v>CREAMG Nº</v>
      </c>
      <c r="D27" s="358" t="str">
        <f>'Planilha orçamentária'!C98</f>
        <v>Responsavel Empresa</v>
      </c>
      <c r="E27" s="358"/>
      <c r="F27" s="190"/>
      <c r="G27" s="190"/>
      <c r="H27" s="190"/>
      <c r="I27" s="190"/>
      <c r="J27" s="190"/>
      <c r="K27" s="190"/>
      <c r="L27" s="190"/>
      <c r="M27" s="190"/>
      <c r="N27" s="191"/>
    </row>
    <row r="28" spans="1:16" ht="29.45" customHeight="1" thickBot="1" x14ac:dyDescent="0.25">
      <c r="A28" s="192"/>
      <c r="B28" s="193">
        <f>'Planilha orçamentária'!C93</f>
        <v>0</v>
      </c>
      <c r="C28" s="194"/>
      <c r="D28" s="359">
        <f>'Planilha orçamentária'!C99</f>
        <v>0</v>
      </c>
      <c r="E28" s="359"/>
      <c r="F28" s="195"/>
      <c r="G28" s="195"/>
      <c r="H28" s="195"/>
      <c r="I28" s="195"/>
      <c r="J28" s="195"/>
      <c r="K28" s="195"/>
      <c r="L28" s="195"/>
      <c r="M28" s="195"/>
      <c r="N28" s="196"/>
    </row>
    <row r="29" spans="1:16" x14ac:dyDescent="0.2">
      <c r="A29" s="197"/>
      <c r="B29" s="198"/>
      <c r="C29" s="189"/>
      <c r="D29" s="189"/>
      <c r="E29" s="199"/>
      <c r="F29" s="199"/>
      <c r="G29" s="199"/>
      <c r="H29" s="199"/>
      <c r="I29" s="199"/>
      <c r="J29" s="199"/>
      <c r="K29" s="199"/>
      <c r="L29" s="199"/>
      <c r="M29" s="199"/>
      <c r="N29" s="199"/>
    </row>
    <row r="30" spans="1:16" x14ac:dyDescent="0.2">
      <c r="A30" s="197"/>
      <c r="B30" s="198"/>
      <c r="C30" s="189"/>
      <c r="D30" s="18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6" x14ac:dyDescent="0.2">
      <c r="A31" s="200"/>
      <c r="B31" s="201"/>
      <c r="C31" s="202"/>
      <c r="D31" s="202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6" ht="13.5" thickBot="1" x14ac:dyDescent="0.25">
      <c r="A32" s="204"/>
      <c r="B32" s="205"/>
      <c r="C32" s="206"/>
      <c r="D32" s="206"/>
      <c r="E32" s="207"/>
      <c r="F32" s="199"/>
      <c r="G32" s="207"/>
      <c r="H32" s="199"/>
      <c r="I32" s="207"/>
      <c r="J32" s="199"/>
      <c r="K32" s="207"/>
      <c r="L32" s="199"/>
      <c r="M32" s="199"/>
      <c r="N32" s="199"/>
    </row>
    <row r="33" spans="1:14" x14ac:dyDescent="0.2">
      <c r="A33" s="199"/>
      <c r="B33" s="199"/>
      <c r="C33" s="189"/>
      <c r="D33" s="18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4" spans="1:14" x14ac:dyDescent="0.2">
      <c r="A34" s="199"/>
      <c r="B34" s="199"/>
      <c r="C34" s="189"/>
      <c r="D34" s="18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1:14" x14ac:dyDescent="0.2">
      <c r="A35" s="199"/>
      <c r="B35" s="199"/>
      <c r="C35" s="189"/>
      <c r="D35" s="18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14" x14ac:dyDescent="0.2">
      <c r="A36" s="199"/>
      <c r="B36" s="199"/>
      <c r="C36" s="189"/>
      <c r="D36" s="189"/>
      <c r="E36" s="199"/>
      <c r="F36" s="199"/>
      <c r="G36" s="199"/>
      <c r="H36" s="199"/>
      <c r="I36" s="199"/>
      <c r="J36" s="199"/>
      <c r="K36" s="199"/>
      <c r="L36" s="199"/>
      <c r="M36" s="199"/>
      <c r="N36" s="199"/>
    </row>
    <row r="37" spans="1:14" x14ac:dyDescent="0.2">
      <c r="A37" s="199"/>
      <c r="B37" s="199"/>
      <c r="C37" s="189"/>
      <c r="D37" s="189"/>
      <c r="E37" s="199"/>
      <c r="F37" s="199"/>
      <c r="G37" s="199"/>
      <c r="H37" s="199"/>
      <c r="I37" s="199"/>
      <c r="J37" s="199"/>
      <c r="K37" s="199"/>
      <c r="L37" s="199"/>
      <c r="M37" s="199"/>
      <c r="N37" s="199"/>
    </row>
    <row r="38" spans="1:14" x14ac:dyDescent="0.2">
      <c r="A38" s="199"/>
      <c r="B38" s="199"/>
      <c r="C38" s="189"/>
      <c r="D38" s="189"/>
      <c r="E38" s="199"/>
      <c r="F38" s="199"/>
      <c r="G38" s="199"/>
      <c r="H38" s="199"/>
      <c r="I38" s="199"/>
      <c r="J38" s="199"/>
      <c r="K38" s="199"/>
      <c r="L38" s="199"/>
      <c r="M38" s="199"/>
      <c r="N38" s="199"/>
    </row>
    <row r="39" spans="1:14" x14ac:dyDescent="0.2">
      <c r="A39" s="199"/>
      <c r="B39" s="199"/>
      <c r="C39" s="189"/>
      <c r="D39" s="189"/>
      <c r="E39" s="199"/>
      <c r="F39" s="199"/>
      <c r="G39" s="199"/>
      <c r="H39" s="199"/>
      <c r="I39" s="199"/>
      <c r="J39" s="199"/>
      <c r="K39" s="199"/>
      <c r="L39" s="199"/>
      <c r="M39" s="199"/>
      <c r="N39" s="199"/>
    </row>
  </sheetData>
  <mergeCells count="27">
    <mergeCell ref="A6:N6"/>
    <mergeCell ref="A1:N1"/>
    <mergeCell ref="A2:N2"/>
    <mergeCell ref="A3:N3"/>
    <mergeCell ref="A4:N4"/>
    <mergeCell ref="A5:N5"/>
    <mergeCell ref="A16:A17"/>
    <mergeCell ref="B16:B17"/>
    <mergeCell ref="A8:N8"/>
    <mergeCell ref="A9:N10"/>
    <mergeCell ref="A11:C11"/>
    <mergeCell ref="D11:E11"/>
    <mergeCell ref="F11:H11"/>
    <mergeCell ref="I11:N11"/>
    <mergeCell ref="A12:C12"/>
    <mergeCell ref="D12:H12"/>
    <mergeCell ref="I12:N12"/>
    <mergeCell ref="A14:A15"/>
    <mergeCell ref="B14:B15"/>
    <mergeCell ref="A18:A19"/>
    <mergeCell ref="B18:B19"/>
    <mergeCell ref="A20:A21"/>
    <mergeCell ref="B20:B21"/>
    <mergeCell ref="A22:B23"/>
    <mergeCell ref="D26:E26"/>
    <mergeCell ref="D27:E27"/>
    <mergeCell ref="D28:E28"/>
  </mergeCells>
  <pageMargins left="0.511811024" right="0.511811024" top="0.78740157499999996" bottom="0.78740157499999996" header="0.31496062000000002" footer="0.31496062000000002"/>
  <pageSetup paperSize="9" scale="5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8193" r:id="rId4">
          <objectPr defaultSize="0" autoPict="0" r:id="rId5">
            <anchor moveWithCells="1" sizeWithCells="1">
              <from>
                <xdr:col>0</xdr:col>
                <xdr:colOff>352425</xdr:colOff>
                <xdr:row>0</xdr:row>
                <xdr:rowOff>123825</xdr:rowOff>
              </from>
              <to>
                <xdr:col>1</xdr:col>
                <xdr:colOff>581025</xdr:colOff>
                <xdr:row>7</xdr:row>
                <xdr:rowOff>38100</xdr:rowOff>
              </to>
            </anchor>
          </objectPr>
        </oleObject>
      </mc:Choice>
      <mc:Fallback>
        <oleObject progId="PBrush" shapeId="81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Planilha orçamentária</vt:lpstr>
      <vt:lpstr>BDI</vt:lpstr>
      <vt:lpstr>Composição de custo</vt:lpstr>
      <vt:lpstr>Memória de Cálculo</vt:lpstr>
      <vt:lpstr>C.F.F</vt:lpstr>
      <vt:lpstr>BDI!Area_de_impressao</vt:lpstr>
      <vt:lpstr>C.F.F!Area_de_impressao</vt:lpstr>
      <vt:lpstr>'Composição de custo'!Area_de_impressao</vt:lpstr>
      <vt:lpstr>'Memória de Cálculo'!Area_de_impressao</vt:lpstr>
      <vt:lpstr>'Planilha orçamentária'!Area_de_impressao</vt:lpstr>
      <vt:lpstr>'Memória de Cálculo'!Titulos_de_impressao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</dc:creator>
  <cp:lastModifiedBy>ramon.rvengenharia@hotmail.com</cp:lastModifiedBy>
  <cp:lastPrinted>2025-04-30T15:20:16Z</cp:lastPrinted>
  <dcterms:created xsi:type="dcterms:W3CDTF">2024-04-15T22:14:24Z</dcterms:created>
  <dcterms:modified xsi:type="dcterms:W3CDTF">2025-04-30T16:29:20Z</dcterms:modified>
</cp:coreProperties>
</file>