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4340" windowHeight="9030" activeTab="1"/>
  </bookViews>
  <sheets>
    <sheet name="Planilha" sheetId="1" r:id="rId1"/>
    <sheet name="Cronograma" sheetId="3" r:id="rId2"/>
  </sheets>
  <definedNames>
    <definedName name="_xlnm.Print_Area" localSheetId="1">Cronograma!$A$1:$V$31</definedName>
  </definedNames>
  <calcPr calcId="124519"/>
</workbook>
</file>

<file path=xl/calcChain.xml><?xml version="1.0" encoding="utf-8"?>
<calcChain xmlns="http://schemas.openxmlformats.org/spreadsheetml/2006/main">
  <c r="J8" i="1"/>
  <c r="N8"/>
  <c r="J9"/>
  <c r="N9"/>
  <c r="J10"/>
  <c r="N10"/>
  <c r="J11"/>
  <c r="N11"/>
  <c r="J12"/>
  <c r="N12"/>
  <c r="J13"/>
  <c r="N13"/>
  <c r="J30"/>
  <c r="J34"/>
  <c r="J17"/>
  <c r="J18"/>
  <c r="N18"/>
  <c r="J19"/>
  <c r="N19"/>
  <c r="J20"/>
  <c r="N20"/>
  <c r="J21"/>
  <c r="N21"/>
  <c r="J22"/>
  <c r="N22"/>
  <c r="G22" i="3"/>
  <c r="J22"/>
  <c r="M22"/>
  <c r="P22"/>
  <c r="S22"/>
  <c r="V22"/>
  <c r="G20"/>
  <c r="J20"/>
  <c r="M20"/>
  <c r="P20"/>
  <c r="S20"/>
  <c r="V20"/>
  <c r="G18"/>
  <c r="J18"/>
  <c r="M18"/>
  <c r="P18"/>
  <c r="S18"/>
  <c r="V18"/>
  <c r="G16"/>
  <c r="J16"/>
  <c r="M16"/>
  <c r="P16"/>
  <c r="S16"/>
  <c r="V16"/>
  <c r="G14"/>
  <c r="J14"/>
  <c r="M14"/>
  <c r="P14"/>
  <c r="S14"/>
  <c r="V14"/>
  <c r="G12"/>
  <c r="J12"/>
  <c r="M12"/>
  <c r="P12"/>
  <c r="S12"/>
  <c r="V12"/>
  <c r="G10"/>
  <c r="J10"/>
  <c r="M10"/>
  <c r="P10"/>
  <c r="S10"/>
  <c r="V10"/>
  <c r="J35" i="1"/>
  <c r="J23"/>
  <c r="N17"/>
  <c r="O9"/>
  <c r="O8"/>
  <c r="N6"/>
  <c r="O16"/>
  <c r="O12"/>
  <c r="O18"/>
  <c r="J14"/>
  <c r="O7"/>
  <c r="P7"/>
  <c r="J24"/>
  <c r="K14"/>
  <c r="O15"/>
  <c r="O11"/>
  <c r="O17"/>
  <c r="O13"/>
  <c r="O14"/>
  <c r="O10"/>
  <c r="K23"/>
  <c r="K24"/>
  <c r="C16" i="3"/>
  <c r="L16" s="1"/>
  <c r="P8" i="1"/>
  <c r="P9"/>
  <c r="O6"/>
  <c r="L22"/>
  <c r="L18"/>
  <c r="L11"/>
  <c r="L19"/>
  <c r="L12"/>
  <c r="L8"/>
  <c r="L20"/>
  <c r="L13"/>
  <c r="L9"/>
  <c r="L21"/>
  <c r="L17"/>
  <c r="L10"/>
  <c r="P10"/>
  <c r="Q7"/>
  <c r="C20" i="3"/>
  <c r="F20" s="1"/>
  <c r="C10"/>
  <c r="L10" s="1"/>
  <c r="C12"/>
  <c r="U12" s="1"/>
  <c r="C18"/>
  <c r="R18" s="1"/>
  <c r="C14"/>
  <c r="R14" s="1"/>
  <c r="Q10" i="1"/>
  <c r="Q8"/>
  <c r="Q9"/>
  <c r="P11"/>
  <c r="P12"/>
  <c r="R12" i="3"/>
  <c r="O16"/>
  <c r="R16"/>
  <c r="F14"/>
  <c r="U14"/>
  <c r="I14"/>
  <c r="O14"/>
  <c r="O20"/>
  <c r="U20"/>
  <c r="I20"/>
  <c r="O10"/>
  <c r="R10"/>
  <c r="F10"/>
  <c r="I10"/>
  <c r="F18"/>
  <c r="L12"/>
  <c r="I12"/>
  <c r="F12"/>
  <c r="Q11" i="1"/>
  <c r="Q12"/>
  <c r="P13"/>
  <c r="Q13"/>
  <c r="P14"/>
  <c r="Q14"/>
  <c r="P15"/>
  <c r="Q15"/>
  <c r="P16"/>
  <c r="Q16"/>
  <c r="P17"/>
  <c r="Q17"/>
  <c r="P18"/>
  <c r="P19"/>
  <c r="Q18"/>
  <c r="P20"/>
  <c r="Q19"/>
  <c r="P21"/>
  <c r="Q20"/>
  <c r="Q21"/>
  <c r="P22"/>
  <c r="P23"/>
  <c r="Q22"/>
  <c r="Q23"/>
  <c r="P24"/>
  <c r="Q24"/>
  <c r="Q6"/>
  <c r="M22"/>
  <c r="M11"/>
  <c r="M21"/>
  <c r="M17"/>
  <c r="M10"/>
  <c r="M19"/>
  <c r="M12"/>
  <c r="M8"/>
  <c r="M20"/>
  <c r="M13"/>
  <c r="M9"/>
  <c r="M18"/>
  <c r="U16" i="3" l="1"/>
  <c r="U18"/>
  <c r="L18"/>
  <c r="I18"/>
  <c r="O18"/>
  <c r="L20"/>
  <c r="R20"/>
  <c r="F16"/>
  <c r="I16"/>
  <c r="C22"/>
  <c r="U10"/>
  <c r="L14"/>
  <c r="O12"/>
  <c r="R24" l="1"/>
  <c r="Q25" s="1"/>
  <c r="R22"/>
  <c r="D22"/>
  <c r="L22"/>
  <c r="L24" s="1"/>
  <c r="K25" s="1"/>
  <c r="F22"/>
  <c r="F24" s="1"/>
  <c r="E25" s="1"/>
  <c r="G24" s="1"/>
  <c r="G25" s="1"/>
  <c r="J24" s="1"/>
  <c r="J25" s="1"/>
  <c r="M24" s="1"/>
  <c r="M25" s="1"/>
  <c r="P24" s="1"/>
  <c r="P25" s="1"/>
  <c r="S24" s="1"/>
  <c r="S25" s="1"/>
  <c r="V24" s="1"/>
  <c r="V25" s="1"/>
  <c r="I22"/>
  <c r="I24" s="1"/>
  <c r="H25" s="1"/>
  <c r="O22"/>
  <c r="O24" s="1"/>
  <c r="N25" s="1"/>
  <c r="C25"/>
  <c r="U22"/>
  <c r="U24"/>
  <c r="T25" s="1"/>
  <c r="D14" l="1"/>
  <c r="T24"/>
  <c r="E24"/>
  <c r="D10"/>
  <c r="Q24"/>
  <c r="D12"/>
  <c r="D20"/>
  <c r="N24"/>
  <c r="K24"/>
  <c r="H24"/>
  <c r="D16"/>
  <c r="D18"/>
  <c r="D24" l="1"/>
</calcChain>
</file>

<file path=xl/sharedStrings.xml><?xml version="1.0" encoding="utf-8"?>
<sst xmlns="http://schemas.openxmlformats.org/spreadsheetml/2006/main" count="127" uniqueCount="95">
  <si>
    <t>ÍTEM</t>
  </si>
  <si>
    <t>D E S C R I Ç Ã O</t>
  </si>
  <si>
    <t>UNID.</t>
  </si>
  <si>
    <t>QUANT.</t>
  </si>
  <si>
    <t>TOTAL</t>
  </si>
  <si>
    <t>TOTAL + FATOR K</t>
  </si>
  <si>
    <t>%</t>
  </si>
  <si>
    <t>SIG</t>
  </si>
  <si>
    <t>EQUIPE TÉCNICA</t>
  </si>
  <si>
    <t>1.1</t>
  </si>
  <si>
    <t>COORDENADOR GERAL</t>
  </si>
  <si>
    <t>H</t>
  </si>
  <si>
    <t>1.2</t>
  </si>
  <si>
    <t>ESPECIALISTA NA ÁREA DE RESÍDUOS SÓLIDOS</t>
  </si>
  <si>
    <t>1.3</t>
  </si>
  <si>
    <t>ENGENHEIRO JÚNIOR</t>
  </si>
  <si>
    <t>1.4</t>
  </si>
  <si>
    <t>AUXILIAR ADMINISTRATIVO</t>
  </si>
  <si>
    <t>1.5</t>
  </si>
  <si>
    <t>PROFISSIONAL DA ÁREA DE COMUNICAÇÃO</t>
  </si>
  <si>
    <t>1.6</t>
  </si>
  <si>
    <t>ADVOGADO</t>
  </si>
  <si>
    <t>SUBTOTAL</t>
  </si>
  <si>
    <t>DESPESAS DIVERSAS</t>
  </si>
  <si>
    <t>2.1</t>
  </si>
  <si>
    <t>OUTRAS DESPESAS</t>
  </si>
  <si>
    <t>2.1.1</t>
  </si>
  <si>
    <t>LOCAÇÃO DE VEÍCULOS</t>
  </si>
  <si>
    <t>MÊS</t>
  </si>
  <si>
    <t>2.1.2</t>
  </si>
  <si>
    <t>IMPRESSÃO DE DESENHOS</t>
  </si>
  <si>
    <t>M2</t>
  </si>
  <si>
    <t>2.1.3</t>
  </si>
  <si>
    <t>CÓPIA REPROGRÁFICA</t>
  </si>
  <si>
    <t>UN</t>
  </si>
  <si>
    <t>2.1.4</t>
  </si>
  <si>
    <t>ENCADERNAÇÕES</t>
  </si>
  <si>
    <t>2.1.5</t>
  </si>
  <si>
    <t>DIÁRIAS</t>
  </si>
  <si>
    <t>2.1.6</t>
  </si>
  <si>
    <t>REFEIÇÕES</t>
  </si>
  <si>
    <t>TOTAL GERAL</t>
  </si>
  <si>
    <t>DETALHAMENTO FATOR K</t>
  </si>
  <si>
    <t>3.1</t>
  </si>
  <si>
    <t>ES - ENCARGOS SOCIAIS</t>
  </si>
  <si>
    <t>3.2</t>
  </si>
  <si>
    <t>ARDF - ADMINISTRAÇÃO, RISCO E DESPESAS FINANCEIRAS</t>
  </si>
  <si>
    <t>3.3</t>
  </si>
  <si>
    <t>L - LUCRO</t>
  </si>
  <si>
    <t>3.4</t>
  </si>
  <si>
    <t>DFL - DESPESSAS FISCAIS LEGAIS [DFL=(PIS+COFINS+ISS)/(1-PIS+COFINS+ISS)]</t>
  </si>
  <si>
    <t>PIS</t>
  </si>
  <si>
    <t>COFINS</t>
  </si>
  <si>
    <t>ISS</t>
  </si>
  <si>
    <t>A</t>
  </si>
  <si>
    <t>FATOR K (MÃO DE OBRA) Ka=[(1+ES+ARDF)*(1+L)*(1+DFL)]</t>
  </si>
  <si>
    <t>B</t>
  </si>
  <si>
    <t>FATOR K (DESPESAS DIVERSAS) Kb=[(1+L)*(1+DFL)]</t>
  </si>
  <si>
    <t>Responsável</t>
  </si>
  <si>
    <t>Empresa:</t>
  </si>
  <si>
    <t>DESCRIÇÃO</t>
  </si>
  <si>
    <t>VALOR</t>
  </si>
  <si>
    <t>PESO</t>
  </si>
  <si>
    <t>MÊS 01</t>
  </si>
  <si>
    <t>MÊS 02</t>
  </si>
  <si>
    <t>MÊS 03</t>
  </si>
  <si>
    <t>MÊS 04</t>
  </si>
  <si>
    <t>MÊS 05</t>
  </si>
  <si>
    <t>MÊS 06</t>
  </si>
  <si>
    <t>SIMPL. %</t>
  </si>
  <si>
    <t>R$</t>
  </si>
  <si>
    <t>ACUM.%</t>
  </si>
  <si>
    <t>PRODUTO 1</t>
  </si>
  <si>
    <t>Legislação preliminar</t>
  </si>
  <si>
    <t>PRODUTO 2</t>
  </si>
  <si>
    <t>Caracterização Municipal</t>
  </si>
  <si>
    <t>PRODUTO 3</t>
  </si>
  <si>
    <t>Diagnóstico Municipal Participativo</t>
  </si>
  <si>
    <t>PRODUTO 4</t>
  </si>
  <si>
    <t>4.1</t>
  </si>
  <si>
    <t>Prognóstico</t>
  </si>
  <si>
    <t>PRODUTO 5</t>
  </si>
  <si>
    <t>5.1</t>
  </si>
  <si>
    <t>Versão Preliminar do PMGIRS</t>
  </si>
  <si>
    <t>PRODUTO 6</t>
  </si>
  <si>
    <t>6.1</t>
  </si>
  <si>
    <t>Versão Final do PMGIRS</t>
  </si>
  <si>
    <t>PRODUTO 7</t>
  </si>
  <si>
    <t>7.1</t>
  </si>
  <si>
    <t>Relatório Síntese do PMGIRS</t>
  </si>
  <si>
    <t>TOTAL EM PERCENTUAL</t>
  </si>
  <si>
    <t>TOTAL EM REAIS</t>
  </si>
  <si>
    <t>Cronograma Físico-Financeiro - Plano Municipal de Gestão Integrada de Residuos Sólidos</t>
  </si>
  <si>
    <t>Planilha Orçamentária - Plano Municipal de Gestão Integrada de Residuos Sólidos</t>
  </si>
  <si>
    <t>R$ UNIT.</t>
  </si>
</sst>
</file>

<file path=xl/styles.xml><?xml version="1.0" encoding="utf-8"?>
<styleSheet xmlns="http://schemas.openxmlformats.org/spreadsheetml/2006/main">
  <numFmts count="6">
    <numFmt numFmtId="172" formatCode="0.000"/>
    <numFmt numFmtId="173" formatCode="[$-416]d\ \ mmmm\,\ yyyy;@"/>
    <numFmt numFmtId="174" formatCode="#,###.00;[Red]\(#,###.00\);&quot; &quot;"/>
    <numFmt numFmtId="175" formatCode="#,###.00;[Red]\(#,###.00\);&quot;-&quot;"/>
    <numFmt numFmtId="176" formatCode="#,###.000%;[Red]\(#,###.000%\);&quot;-&quot;"/>
    <numFmt numFmtId="177" formatCode="[$-416]d\-mmm;@"/>
  </numFmts>
  <fonts count="12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b/>
      <sz val="10"/>
      <name val="Arial"/>
    </font>
    <font>
      <b/>
      <sz val="9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12"/>
      <name val="Arial"/>
    </font>
    <font>
      <b/>
      <sz val="10"/>
      <color indexed="12"/>
      <name val="Arial"/>
      <family val="2"/>
    </font>
    <font>
      <b/>
      <sz val="10"/>
      <color indexed="17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4" fontId="1" fillId="0" borderId="0" xfId="0" applyNumberFormat="1" applyFont="1" applyAlignment="1" applyProtection="1">
      <alignment vertical="center"/>
      <protection hidden="1"/>
    </xf>
    <xf numFmtId="4" fontId="3" fillId="0" borderId="0" xfId="0" applyNumberFormat="1" applyFont="1" applyAlignment="1" applyProtection="1">
      <alignment vertical="center"/>
      <protection hidden="1"/>
    </xf>
    <xf numFmtId="4" fontId="3" fillId="0" borderId="0" xfId="0" applyNumberFormat="1" applyFont="1" applyAlignment="1" applyProtection="1">
      <alignment horizontal="right" vertical="center"/>
      <protection hidden="1"/>
    </xf>
    <xf numFmtId="4" fontId="3" fillId="0" borderId="0" xfId="0" applyNumberFormat="1" applyFont="1" applyAlignment="1" applyProtection="1">
      <alignment horizontal="left" vertical="center"/>
      <protection hidden="1"/>
    </xf>
    <xf numFmtId="4" fontId="5" fillId="0" borderId="0" xfId="0" applyNumberFormat="1" applyFont="1" applyAlignment="1" applyProtection="1">
      <alignment horizontal="left"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left" vertical="center"/>
      <protection hidden="1"/>
    </xf>
    <xf numFmtId="0" fontId="2" fillId="2" borderId="2" xfId="0" applyFont="1" applyFill="1" applyBorder="1" applyAlignment="1" applyProtection="1">
      <alignment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4" fontId="2" fillId="2" borderId="4" xfId="0" applyNumberFormat="1" applyFont="1" applyFill="1" applyBorder="1" applyAlignment="1" applyProtection="1">
      <alignment horizontal="center" vertical="center"/>
      <protection hidden="1"/>
    </xf>
    <xf numFmtId="4" fontId="2" fillId="2" borderId="4" xfId="0" applyNumberFormat="1" applyFont="1" applyFill="1" applyBorder="1" applyAlignment="1" applyProtection="1">
      <alignment horizontal="center" vertical="center" wrapText="1"/>
      <protection hidden="1"/>
    </xf>
    <xf numFmtId="4" fontId="2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4" xfId="0" applyNumberFormat="1" applyFont="1" applyFill="1" applyBorder="1" applyAlignment="1" applyProtection="1">
      <alignment horizontal="center" vertical="center" wrapText="1"/>
      <protection hidden="1"/>
    </xf>
    <xf numFmtId="4" fontId="6" fillId="4" borderId="5" xfId="0" applyNumberFormat="1" applyFont="1" applyFill="1" applyBorder="1" applyAlignment="1" applyProtection="1">
      <alignment horizontal="center"/>
      <protection hidden="1"/>
    </xf>
    <xf numFmtId="4" fontId="7" fillId="4" borderId="5" xfId="0" applyNumberFormat="1" applyFont="1" applyFill="1" applyBorder="1" applyAlignment="1" applyProtection="1">
      <alignment horizontal="center"/>
      <protection hidden="1"/>
    </xf>
    <xf numFmtId="4" fontId="6" fillId="3" borderId="5" xfId="0" applyNumberFormat="1" applyFont="1" applyFill="1" applyBorder="1" applyAlignment="1" applyProtection="1">
      <alignment horizontal="center"/>
      <protection hidden="1"/>
    </xf>
    <xf numFmtId="0" fontId="6" fillId="3" borderId="5" xfId="0" applyNumberFormat="1" applyFont="1" applyFill="1" applyBorder="1" applyAlignment="1" applyProtection="1">
      <alignment horizontal="center"/>
      <protection hidden="1"/>
    </xf>
    <xf numFmtId="4" fontId="8" fillId="5" borderId="5" xfId="0" applyNumberFormat="1" applyFont="1" applyFill="1" applyBorder="1" applyAlignment="1" applyProtection="1">
      <alignment horizontal="center"/>
      <protection hidden="1"/>
    </xf>
    <xf numFmtId="4" fontId="7" fillId="5" borderId="5" xfId="0" applyNumberFormat="1" applyFont="1" applyFill="1" applyBorder="1" applyAlignment="1" applyProtection="1">
      <alignment horizontal="center"/>
      <protection hidden="1"/>
    </xf>
    <xf numFmtId="4" fontId="6" fillId="6" borderId="5" xfId="0" applyNumberFormat="1" applyFont="1" applyFill="1" applyBorder="1" applyAlignment="1" applyProtection="1">
      <alignment horizontal="center"/>
      <protection hidden="1"/>
    </xf>
    <xf numFmtId="4" fontId="7" fillId="6" borderId="5" xfId="0" applyNumberFormat="1" applyFont="1" applyFill="1" applyBorder="1" applyAlignment="1" applyProtection="1">
      <alignment horizontal="center"/>
      <protection hidden="1"/>
    </xf>
    <xf numFmtId="4" fontId="6" fillId="2" borderId="5" xfId="0" applyNumberFormat="1" applyFont="1" applyFill="1" applyBorder="1" applyAlignment="1" applyProtection="1">
      <alignment horizontal="center"/>
      <protection hidden="1"/>
    </xf>
    <xf numFmtId="4" fontId="7" fillId="2" borderId="5" xfId="0" applyNumberFormat="1" applyFont="1" applyFill="1" applyBorder="1" applyAlignment="1" applyProtection="1">
      <alignment horizontal="center"/>
      <protection hidden="1"/>
    </xf>
    <xf numFmtId="10" fontId="8" fillId="0" borderId="5" xfId="0" applyNumberFormat="1" applyFont="1" applyFill="1" applyBorder="1" applyAlignment="1" applyProtection="1">
      <alignment horizontal="center"/>
      <protection hidden="1"/>
    </xf>
    <xf numFmtId="10" fontId="8" fillId="5" borderId="5" xfId="0" applyNumberFormat="1" applyFont="1" applyFill="1" applyBorder="1" applyAlignment="1" applyProtection="1">
      <alignment horizont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4" fontId="0" fillId="0" borderId="5" xfId="0" applyNumberFormat="1" applyBorder="1" applyAlignment="1" applyProtection="1">
      <alignment horizontal="center" vertical="center"/>
      <protection hidden="1"/>
    </xf>
    <xf numFmtId="4" fontId="0" fillId="0" borderId="5" xfId="0" applyNumberFormat="1" applyBorder="1" applyAlignment="1" applyProtection="1">
      <alignment vertical="center"/>
      <protection hidden="1"/>
    </xf>
    <xf numFmtId="172" fontId="8" fillId="5" borderId="5" xfId="0" applyNumberFormat="1" applyFont="1" applyFill="1" applyBorder="1" applyAlignment="1" applyProtection="1">
      <alignment horizontal="center"/>
      <protection hidden="1"/>
    </xf>
    <xf numFmtId="4" fontId="1" fillId="0" borderId="5" xfId="0" applyNumberFormat="1" applyFont="1" applyBorder="1" applyAlignment="1" applyProtection="1">
      <alignment vertical="center"/>
      <protection hidden="1"/>
    </xf>
    <xf numFmtId="4" fontId="3" fillId="0" borderId="5" xfId="0" applyNumberFormat="1" applyFont="1" applyBorder="1" applyAlignment="1" applyProtection="1">
      <alignment vertical="center"/>
      <protection hidden="1"/>
    </xf>
    <xf numFmtId="4" fontId="0" fillId="0" borderId="6" xfId="0" applyNumberFormat="1" applyBorder="1" applyAlignment="1" applyProtection="1">
      <alignment vertical="center"/>
      <protection hidden="1"/>
    </xf>
    <xf numFmtId="4" fontId="0" fillId="0" borderId="6" xfId="0" applyNumberFormat="1" applyBorder="1" applyAlignment="1" applyProtection="1">
      <alignment horizontal="center" vertical="center"/>
      <protection hidden="1"/>
    </xf>
    <xf numFmtId="4" fontId="1" fillId="0" borderId="6" xfId="0" applyNumberFormat="1" applyFont="1" applyBorder="1" applyAlignment="1" applyProtection="1">
      <alignment vertical="center"/>
      <protection hidden="1"/>
    </xf>
    <xf numFmtId="4" fontId="3" fillId="0" borderId="6" xfId="0" applyNumberFormat="1" applyFont="1" applyBorder="1" applyAlignment="1" applyProtection="1">
      <alignment vertical="center"/>
      <protection hidden="1"/>
    </xf>
    <xf numFmtId="0" fontId="0" fillId="0" borderId="7" xfId="0" applyBorder="1" applyAlignment="1" applyProtection="1">
      <alignment vertical="center"/>
      <protection hidden="1"/>
    </xf>
    <xf numFmtId="0" fontId="0" fillId="0" borderId="8" xfId="0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4" fontId="0" fillId="0" borderId="8" xfId="0" applyNumberFormat="1" applyBorder="1" applyAlignment="1" applyProtection="1">
      <alignment horizontal="center" vertical="center"/>
      <protection hidden="1"/>
    </xf>
    <xf numFmtId="4" fontId="0" fillId="0" borderId="8" xfId="0" applyNumberFormat="1" applyBorder="1" applyAlignment="1" applyProtection="1">
      <alignment vertical="center"/>
      <protection hidden="1"/>
    </xf>
    <xf numFmtId="4" fontId="1" fillId="0" borderId="8" xfId="0" applyNumberFormat="1" applyFont="1" applyBorder="1" applyAlignment="1" applyProtection="1">
      <alignment vertical="center"/>
      <protection hidden="1"/>
    </xf>
    <xf numFmtId="4" fontId="3" fillId="0" borderId="8" xfId="0" applyNumberFormat="1" applyFont="1" applyBorder="1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4" fontId="0" fillId="0" borderId="0" xfId="0" applyNumberFormat="1" applyBorder="1" applyAlignment="1" applyProtection="1">
      <alignment horizontal="center" vertical="center"/>
      <protection hidden="1"/>
    </xf>
    <xf numFmtId="4" fontId="0" fillId="0" borderId="0" xfId="0" applyNumberFormat="1" applyBorder="1" applyAlignment="1" applyProtection="1">
      <alignment vertical="center"/>
      <protection hidden="1"/>
    </xf>
    <xf numFmtId="4" fontId="1" fillId="0" borderId="0" xfId="0" applyNumberFormat="1" applyFont="1" applyBorder="1" applyAlignment="1" applyProtection="1">
      <alignment vertical="center"/>
      <protection hidden="1"/>
    </xf>
    <xf numFmtId="4" fontId="3" fillId="0" borderId="0" xfId="0" applyNumberFormat="1" applyFont="1" applyBorder="1" applyAlignment="1" applyProtection="1">
      <alignment vertical="center"/>
      <protection hidden="1"/>
    </xf>
    <xf numFmtId="4" fontId="4" fillId="0" borderId="0" xfId="0" applyNumberFormat="1" applyFont="1" applyAlignment="1" applyProtection="1">
      <alignment vertical="center"/>
      <protection hidden="1"/>
    </xf>
    <xf numFmtId="0" fontId="6" fillId="4" borderId="5" xfId="0" applyFont="1" applyFill="1" applyBorder="1" applyAlignment="1" applyProtection="1">
      <alignment horizontal="center"/>
      <protection hidden="1"/>
    </xf>
    <xf numFmtId="0" fontId="6" fillId="4" borderId="9" xfId="0" applyFont="1" applyFill="1" applyBorder="1" applyAlignment="1" applyProtection="1">
      <alignment horizontal="left"/>
      <protection hidden="1"/>
    </xf>
    <xf numFmtId="0" fontId="6" fillId="4" borderId="10" xfId="0" applyFont="1" applyFill="1" applyBorder="1" applyAlignment="1" applyProtection="1">
      <alignment horizontal="center"/>
      <protection hidden="1"/>
    </xf>
    <xf numFmtId="0" fontId="6" fillId="4" borderId="11" xfId="0" applyFont="1" applyFill="1" applyBorder="1" applyAlignment="1" applyProtection="1">
      <alignment horizontal="center"/>
      <protection hidden="1"/>
    </xf>
    <xf numFmtId="0" fontId="8" fillId="5" borderId="5" xfId="0" applyFont="1" applyFill="1" applyBorder="1" applyAlignment="1" applyProtection="1">
      <alignment horizontal="center"/>
      <protection hidden="1"/>
    </xf>
    <xf numFmtId="0" fontId="8" fillId="5" borderId="9" xfId="0" applyFont="1" applyFill="1" applyBorder="1" applyAlignment="1" applyProtection="1">
      <alignment horizontal="left"/>
      <protection hidden="1"/>
    </xf>
    <xf numFmtId="0" fontId="8" fillId="5" borderId="10" xfId="0" applyFont="1" applyFill="1" applyBorder="1" applyAlignment="1" applyProtection="1">
      <alignment horizontal="center"/>
      <protection hidden="1"/>
    </xf>
    <xf numFmtId="0" fontId="8" fillId="5" borderId="11" xfId="0" applyFont="1" applyFill="1" applyBorder="1" applyAlignment="1" applyProtection="1">
      <alignment horizontal="center"/>
      <protection hidden="1"/>
    </xf>
    <xf numFmtId="0" fontId="6" fillId="5" borderId="5" xfId="0" applyFont="1" applyFill="1" applyBorder="1" applyAlignment="1" applyProtection="1">
      <alignment horizontal="center"/>
      <protection hidden="1"/>
    </xf>
    <xf numFmtId="0" fontId="6" fillId="6" borderId="9" xfId="0" applyFont="1" applyFill="1" applyBorder="1" applyAlignment="1" applyProtection="1">
      <alignment horizontal="left"/>
      <protection hidden="1"/>
    </xf>
    <xf numFmtId="0" fontId="6" fillId="6" borderId="10" xfId="0" applyFont="1" applyFill="1" applyBorder="1" applyAlignment="1" applyProtection="1">
      <alignment horizontal="center"/>
      <protection hidden="1"/>
    </xf>
    <xf numFmtId="0" fontId="6" fillId="6" borderId="11" xfId="0" applyFont="1" applyFill="1" applyBorder="1" applyAlignment="1" applyProtection="1">
      <alignment horizontal="center"/>
      <protection hidden="1"/>
    </xf>
    <xf numFmtId="0" fontId="6" fillId="6" borderId="5" xfId="0" applyFont="1" applyFill="1" applyBorder="1" applyAlignment="1" applyProtection="1">
      <alignment horizontal="center"/>
      <protection hidden="1"/>
    </xf>
    <xf numFmtId="0" fontId="6" fillId="2" borderId="5" xfId="0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 applyProtection="1">
      <alignment horizontal="left"/>
      <protection hidden="1"/>
    </xf>
    <xf numFmtId="0" fontId="6" fillId="2" borderId="10" xfId="0" applyFont="1" applyFill="1" applyBorder="1" applyAlignment="1" applyProtection="1">
      <alignment horizontal="center"/>
      <protection hidden="1"/>
    </xf>
    <xf numFmtId="0" fontId="6" fillId="2" borderId="11" xfId="0" applyFont="1" applyFill="1" applyBorder="1" applyAlignment="1" applyProtection="1">
      <alignment horizontal="center"/>
      <protection hidden="1"/>
    </xf>
    <xf numFmtId="4" fontId="8" fillId="0" borderId="5" xfId="0" applyNumberFormat="1" applyFont="1" applyFill="1" applyBorder="1" applyAlignment="1" applyProtection="1">
      <alignment horizontal="center"/>
      <protection hidden="1"/>
    </xf>
    <xf numFmtId="0" fontId="8" fillId="5" borderId="11" xfId="0" applyFont="1" applyFill="1" applyBorder="1" applyAlignment="1" applyProtection="1">
      <alignment horizontal="left"/>
      <protection hidden="1"/>
    </xf>
    <xf numFmtId="4" fontId="4" fillId="0" borderId="0" xfId="0" applyNumberFormat="1" applyFont="1" applyAlignment="1" applyProtection="1">
      <alignment horizontal="right" vertical="center"/>
      <protection hidden="1"/>
    </xf>
    <xf numFmtId="2" fontId="0" fillId="0" borderId="0" xfId="0" applyNumberForma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173" fontId="3" fillId="0" borderId="0" xfId="0" applyNumberFormat="1" applyFont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/>
      <protection hidden="1"/>
    </xf>
    <xf numFmtId="2" fontId="2" fillId="2" borderId="5" xfId="0" applyNumberFormat="1" applyFont="1" applyFill="1" applyBorder="1" applyAlignment="1" applyProtection="1">
      <alignment horizontal="center" vertical="center"/>
      <protection hidden="1"/>
    </xf>
    <xf numFmtId="0" fontId="2" fillId="4" borderId="5" xfId="0" applyNumberFormat="1" applyFont="1" applyFill="1" applyBorder="1" applyAlignment="1" applyProtection="1">
      <alignment horizontal="center" vertical="center"/>
      <protection hidden="1"/>
    </xf>
    <xf numFmtId="174" fontId="2" fillId="4" borderId="5" xfId="0" applyNumberFormat="1" applyFont="1" applyFill="1" applyBorder="1" applyAlignment="1" applyProtection="1">
      <alignment horizontal="left" vertical="center" wrapText="1"/>
      <protection hidden="1"/>
    </xf>
    <xf numFmtId="175" fontId="2" fillId="4" borderId="5" xfId="0" applyNumberFormat="1" applyFont="1" applyFill="1" applyBorder="1" applyAlignment="1" applyProtection="1">
      <alignment horizontal="center" vertical="center" wrapText="1"/>
      <protection hidden="1"/>
    </xf>
    <xf numFmtId="176" fontId="2" fillId="4" borderId="5" xfId="0" applyNumberFormat="1" applyFont="1" applyFill="1" applyBorder="1" applyAlignment="1" applyProtection="1">
      <alignment horizontal="center" vertical="center" wrapText="1"/>
      <protection hidden="1"/>
    </xf>
    <xf numFmtId="10" fontId="2" fillId="4" borderId="5" xfId="0" applyNumberFormat="1" applyFont="1" applyFill="1" applyBorder="1" applyAlignment="1" applyProtection="1">
      <alignment horizontal="center" vertical="center"/>
      <protection hidden="1"/>
    </xf>
    <xf numFmtId="2" fontId="2" fillId="4" borderId="5" xfId="0" applyNumberFormat="1" applyFont="1" applyFill="1" applyBorder="1" applyAlignment="1" applyProtection="1">
      <alignment horizontal="center" vertical="center"/>
      <protection hidden="1"/>
    </xf>
    <xf numFmtId="10" fontId="3" fillId="4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NumberFormat="1" applyBorder="1" applyAlignment="1" applyProtection="1">
      <alignment horizontal="center" vertical="center"/>
      <protection hidden="1"/>
    </xf>
    <xf numFmtId="174" fontId="0" fillId="0" borderId="5" xfId="0" applyNumberFormat="1" applyBorder="1" applyAlignment="1" applyProtection="1">
      <alignment horizontal="left" vertical="center" wrapText="1"/>
      <protection hidden="1"/>
    </xf>
    <xf numFmtId="175" fontId="0" fillId="0" borderId="5" xfId="0" applyNumberFormat="1" applyBorder="1" applyAlignment="1" applyProtection="1">
      <alignment horizontal="center" vertical="center" wrapText="1"/>
      <protection hidden="1"/>
    </xf>
    <xf numFmtId="176" fontId="0" fillId="0" borderId="5" xfId="0" applyNumberFormat="1" applyBorder="1" applyAlignment="1" applyProtection="1">
      <alignment horizontal="center" vertical="center" wrapText="1"/>
      <protection hidden="1"/>
    </xf>
    <xf numFmtId="2" fontId="0" fillId="7" borderId="5" xfId="0" applyNumberFormat="1" applyFill="1" applyBorder="1" applyAlignment="1" applyProtection="1">
      <alignment horizontal="center" vertical="center"/>
      <protection hidden="1"/>
    </xf>
    <xf numFmtId="10" fontId="3" fillId="0" borderId="5" xfId="0" applyNumberFormat="1" applyFont="1" applyFill="1" applyBorder="1" applyAlignment="1" applyProtection="1">
      <alignment horizontal="center" vertical="center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vertical="center"/>
      <protection hidden="1"/>
    </xf>
    <xf numFmtId="10" fontId="2" fillId="0" borderId="5" xfId="0" applyNumberFormat="1" applyFont="1" applyBorder="1" applyAlignment="1" applyProtection="1">
      <alignment horizontal="center" vertical="center"/>
      <protection hidden="1"/>
    </xf>
    <xf numFmtId="4" fontId="2" fillId="7" borderId="5" xfId="0" applyNumberFormat="1" applyFont="1" applyFill="1" applyBorder="1" applyAlignment="1" applyProtection="1">
      <alignment horizontal="center" vertical="center"/>
      <protection hidden="1"/>
    </xf>
    <xf numFmtId="10" fontId="10" fillId="0" borderId="5" xfId="0" applyNumberFormat="1" applyFont="1" applyBorder="1" applyAlignment="1" applyProtection="1">
      <alignment horizontal="center" vertical="center"/>
      <protection hidden="1"/>
    </xf>
    <xf numFmtId="4" fontId="2" fillId="0" borderId="5" xfId="0" applyNumberFormat="1" applyFont="1" applyBorder="1" applyAlignment="1" applyProtection="1">
      <alignment horizontal="center" vertical="center"/>
      <protection hidden="1"/>
    </xf>
    <xf numFmtId="4" fontId="11" fillId="7" borderId="5" xfId="0" applyNumberFormat="1" applyFont="1" applyFill="1" applyBorder="1" applyAlignment="1" applyProtection="1">
      <alignment horizontal="center" vertical="center"/>
      <protection hidden="1"/>
    </xf>
    <xf numFmtId="4" fontId="10" fillId="0" borderId="5" xfId="0" applyNumberFormat="1" applyFont="1" applyBorder="1" applyAlignment="1" applyProtection="1">
      <alignment horizontal="center" vertical="center"/>
      <protection hidden="1"/>
    </xf>
    <xf numFmtId="2" fontId="11" fillId="7" borderId="5" xfId="0" applyNumberFormat="1" applyFont="1" applyFill="1" applyBorder="1" applyAlignment="1" applyProtection="1">
      <alignment horizontal="center" vertical="center"/>
      <protection hidden="1"/>
    </xf>
    <xf numFmtId="177" fontId="3" fillId="0" borderId="0" xfId="0" applyNumberFormat="1" applyFont="1" applyAlignment="1" applyProtection="1">
      <alignment horizontal="center" vertical="center"/>
      <protection hidden="1"/>
    </xf>
    <xf numFmtId="2" fontId="0" fillId="0" borderId="0" xfId="0" applyNumberFormat="1" applyAlignment="1" applyProtection="1">
      <alignment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2" fontId="0" fillId="0" borderId="6" xfId="0" applyNumberFormat="1" applyBorder="1" applyAlignment="1" applyProtection="1">
      <alignment horizontal="center" vertical="center"/>
      <protection hidden="1"/>
    </xf>
    <xf numFmtId="2" fontId="0" fillId="0" borderId="6" xfId="0" applyNumberFormat="1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hidden="1"/>
    </xf>
    <xf numFmtId="10" fontId="0" fillId="8" borderId="5" xfId="0" applyNumberFormat="1" applyFill="1" applyBorder="1" applyAlignment="1" applyProtection="1">
      <alignment horizontal="center" vertical="center"/>
      <protection locked="0" hidden="1"/>
    </xf>
    <xf numFmtId="10" fontId="2" fillId="6" borderId="5" xfId="0" applyNumberFormat="1" applyFont="1" applyFill="1" applyBorder="1" applyAlignment="1" applyProtection="1">
      <alignment horizontal="center" vertical="center"/>
      <protection hidden="1"/>
    </xf>
    <xf numFmtId="4" fontId="2" fillId="6" borderId="5" xfId="0" applyNumberFormat="1" applyFont="1" applyFill="1" applyBorder="1" applyAlignment="1" applyProtection="1">
      <alignment horizontal="center" vertical="center"/>
      <protection hidden="1"/>
    </xf>
    <xf numFmtId="4" fontId="8" fillId="8" borderId="5" xfId="0" applyNumberFormat="1" applyFont="1" applyFill="1" applyBorder="1" applyAlignment="1" applyProtection="1">
      <alignment horizontal="center"/>
      <protection locked="0" hidden="1"/>
    </xf>
    <xf numFmtId="10" fontId="8" fillId="8" borderId="5" xfId="0" applyNumberFormat="1" applyFont="1" applyFill="1" applyBorder="1" applyAlignment="1" applyProtection="1">
      <alignment horizontal="center"/>
      <protection locked="0" hidden="1"/>
    </xf>
    <xf numFmtId="4" fontId="0" fillId="0" borderId="2" xfId="0" applyNumberFormat="1" applyBorder="1" applyAlignment="1" applyProtection="1">
      <alignment horizontal="center" vertical="center"/>
      <protection locked="0" hidden="1"/>
    </xf>
    <xf numFmtId="0" fontId="9" fillId="8" borderId="12" xfId="0" applyFont="1" applyFill="1" applyBorder="1" applyAlignment="1" applyProtection="1">
      <alignment horizontal="center" vertical="center"/>
      <protection locked="0" hidden="1"/>
    </xf>
    <xf numFmtId="0" fontId="9" fillId="8" borderId="13" xfId="0" applyFont="1" applyFill="1" applyBorder="1" applyAlignment="1" applyProtection="1">
      <alignment horizontal="center" vertical="center"/>
      <protection locked="0" hidden="1"/>
    </xf>
    <xf numFmtId="0" fontId="2" fillId="2" borderId="5" xfId="0" applyNumberFormat="1" applyFont="1" applyFill="1" applyBorder="1" applyAlignment="1" applyProtection="1">
      <alignment horizontal="center" vertical="center"/>
      <protection hidden="1"/>
    </xf>
    <xf numFmtId="4" fontId="2" fillId="2" borderId="5" xfId="0" applyNumberFormat="1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/>
      <protection hidden="1"/>
    </xf>
    <xf numFmtId="0" fontId="9" fillId="8" borderId="12" xfId="0" applyFont="1" applyFill="1" applyBorder="1" applyAlignment="1" applyProtection="1">
      <alignment horizontal="left" vertical="center"/>
      <protection locked="0" hidden="1"/>
    </xf>
    <xf numFmtId="0" fontId="9" fillId="8" borderId="13" xfId="0" applyFont="1" applyFill="1" applyBorder="1" applyAlignment="1" applyProtection="1">
      <alignment horizontal="left" vertical="center"/>
      <protection locked="0" hidden="1"/>
    </xf>
    <xf numFmtId="0" fontId="9" fillId="8" borderId="14" xfId="0" applyFont="1" applyFill="1" applyBorder="1" applyAlignment="1" applyProtection="1">
      <alignment horizontal="left" vertical="center"/>
      <protection locked="0" hidden="1"/>
    </xf>
  </cellXfs>
  <cellStyles count="1">
    <cellStyle name="Normal" xfId="0" builtinId="0"/>
  </cellStyles>
  <dxfs count="24">
    <dxf>
      <font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2"/>
      </font>
    </dxf>
    <dxf>
      <font>
        <b/>
        <i val="0"/>
        <condense val="0"/>
        <extend val="0"/>
        <color indexed="9"/>
      </font>
      <fill>
        <patternFill patternType="solid"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/>
        <condense val="0"/>
        <extend val="0"/>
        <color indexed="14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>
          <bgColor indexed="44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2"/>
      </font>
    </dxf>
    <dxf>
      <font>
        <b/>
        <i val="0"/>
        <condense val="0"/>
        <extend val="0"/>
        <color indexed="9"/>
      </font>
      <fill>
        <patternFill patternType="solid"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 patternType="solid"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condense val="0"/>
        <extend val="0"/>
        <color indexed="9"/>
      </font>
      <fill>
        <patternFill patternType="solid">
          <bgColor indexed="9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22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 patternType="solid">
          <bgColor indexed="4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 patternType="solid">
          <bgColor indexed="4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22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 patternType="solid">
          <bgColor indexed="4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22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 patternType="solid">
          <bgColor indexed="4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22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40"/>
  <sheetViews>
    <sheetView topLeftCell="A19" zoomScale="130" zoomScaleNormal="130" workbookViewId="0">
      <selection activeCell="A6" sqref="A6:M36"/>
    </sheetView>
  </sheetViews>
  <sheetFormatPr defaultRowHeight="12.75"/>
  <cols>
    <col min="1" max="1" width="5.5703125" style="3" bestFit="1" customWidth="1"/>
    <col min="2" max="2" width="10.7109375" style="1" customWidth="1"/>
    <col min="3" max="5" width="10.7109375" style="2" customWidth="1"/>
    <col min="6" max="6" width="10.7109375" style="3" customWidth="1"/>
    <col min="7" max="7" width="6" style="3" bestFit="1" customWidth="1"/>
    <col min="8" max="8" width="8.140625" style="4" bestFit="1" customWidth="1"/>
    <col min="9" max="9" width="9.5703125" style="5" bestFit="1" customWidth="1"/>
    <col min="10" max="10" width="12.85546875" style="4" bestFit="1" customWidth="1"/>
    <col min="11" max="11" width="11.28515625" style="5" bestFit="1" customWidth="1"/>
    <col min="12" max="12" width="7.140625" style="6" bestFit="1" customWidth="1"/>
    <col min="13" max="13" width="4.28515625" style="7" customWidth="1"/>
    <col min="14" max="17" width="9.140625" style="7" hidden="1" customWidth="1"/>
    <col min="18" max="18" width="4.28515625" style="7" hidden="1" customWidth="1"/>
    <col min="19" max="19" width="11" style="2" bestFit="1" customWidth="1"/>
    <col min="20" max="16384" width="9.140625" style="2"/>
  </cols>
  <sheetData>
    <row r="2" spans="1:19" ht="18">
      <c r="A2" s="55" t="s">
        <v>59</v>
      </c>
      <c r="C2" s="115"/>
      <c r="D2" s="116"/>
      <c r="E2" s="116"/>
      <c r="F2" s="116"/>
      <c r="G2" s="116"/>
      <c r="H2" s="116"/>
      <c r="I2" s="116"/>
      <c r="J2" s="116"/>
      <c r="K2" s="116"/>
      <c r="L2" s="116"/>
      <c r="M2" s="116"/>
      <c r="S2" s="42"/>
    </row>
    <row r="4" spans="1:19" ht="18">
      <c r="A4" s="55" t="s">
        <v>93</v>
      </c>
    </row>
    <row r="5" spans="1:19">
      <c r="J5" s="8"/>
      <c r="K5" s="9"/>
      <c r="L5" s="10"/>
      <c r="M5" s="9"/>
      <c r="N5" s="9"/>
      <c r="O5" s="9"/>
      <c r="P5" s="9"/>
      <c r="Q5" s="9"/>
      <c r="R5" s="9"/>
    </row>
    <row r="6" spans="1:19" ht="25.5">
      <c r="A6" s="11" t="s">
        <v>0</v>
      </c>
      <c r="B6" s="12" t="s">
        <v>1</v>
      </c>
      <c r="C6" s="13"/>
      <c r="D6" s="13"/>
      <c r="E6" s="13"/>
      <c r="F6" s="14"/>
      <c r="G6" s="14" t="s">
        <v>2</v>
      </c>
      <c r="H6" s="15" t="s">
        <v>3</v>
      </c>
      <c r="I6" s="16" t="s">
        <v>94</v>
      </c>
      <c r="J6" s="15" t="s">
        <v>4</v>
      </c>
      <c r="K6" s="16" t="s">
        <v>5</v>
      </c>
      <c r="L6" s="16" t="s">
        <v>6</v>
      </c>
      <c r="M6" s="16" t="s">
        <v>7</v>
      </c>
      <c r="N6" s="17">
        <f>SUM(N7:N24)</f>
        <v>60073.569999999992</v>
      </c>
      <c r="O6" s="17">
        <f>SUM(O7:O24)</f>
        <v>60073.569999999992</v>
      </c>
      <c r="P6" s="17"/>
      <c r="Q6" s="17">
        <f>LARGE(Q7:Q24,1)</f>
        <v>4400</v>
      </c>
      <c r="R6" s="18"/>
    </row>
    <row r="7" spans="1:19">
      <c r="A7" s="56">
        <v>1</v>
      </c>
      <c r="B7" s="57" t="s">
        <v>8</v>
      </c>
      <c r="C7" s="58"/>
      <c r="D7" s="58"/>
      <c r="E7" s="58"/>
      <c r="F7" s="59"/>
      <c r="G7" s="56"/>
      <c r="H7" s="19"/>
      <c r="I7" s="19"/>
      <c r="J7" s="19"/>
      <c r="K7" s="19"/>
      <c r="L7" s="19"/>
      <c r="M7" s="20"/>
      <c r="N7" s="21"/>
      <c r="O7" s="21">
        <f t="shared" ref="O7:O18" si="0">LARGE($N$7:$N$24,R7)</f>
        <v>14454.4</v>
      </c>
      <c r="P7" s="21">
        <f>O7+P6</f>
        <v>14454.4</v>
      </c>
      <c r="Q7" s="21">
        <f>IF(P7&gt;=($O$6*0.8),O7,0)</f>
        <v>0</v>
      </c>
      <c r="R7" s="22">
        <v>1</v>
      </c>
      <c r="S7" s="5"/>
    </row>
    <row r="8" spans="1:19">
      <c r="A8" s="60" t="s">
        <v>9</v>
      </c>
      <c r="B8" s="61" t="s">
        <v>10</v>
      </c>
      <c r="C8" s="62"/>
      <c r="D8" s="62"/>
      <c r="E8" s="62"/>
      <c r="F8" s="63"/>
      <c r="G8" s="60" t="s">
        <v>11</v>
      </c>
      <c r="H8" s="112">
        <v>160</v>
      </c>
      <c r="I8" s="112">
        <v>89.06</v>
      </c>
      <c r="J8" s="23">
        <f t="shared" ref="J8:J13" si="1">ROUND(H8*I8,2)</f>
        <v>14249.6</v>
      </c>
      <c r="K8" s="23"/>
      <c r="L8" s="23">
        <f t="shared" ref="L8:L13" si="2">IF($J$24&lt;&gt;0,J8/$J$24,0)</f>
        <v>0.23720248355474796</v>
      </c>
      <c r="M8" s="24" t="str">
        <f t="shared" ref="M8:M13" si="3">IF(J8&gt;=$Q$6,"SIG","")</f>
        <v>SIG</v>
      </c>
      <c r="N8" s="21">
        <f t="shared" ref="N8:N13" si="4">J8</f>
        <v>14249.6</v>
      </c>
      <c r="O8" s="21">
        <f t="shared" si="0"/>
        <v>14249.6</v>
      </c>
      <c r="P8" s="21">
        <f t="shared" ref="P8:P24" si="5">O8+P7</f>
        <v>28704</v>
      </c>
      <c r="Q8" s="21">
        <f t="shared" ref="Q8:Q24" si="6">IF(P8&gt;=($O$6*0.8),O8,0)</f>
        <v>0</v>
      </c>
      <c r="R8" s="22">
        <v>2</v>
      </c>
      <c r="S8" s="5"/>
    </row>
    <row r="9" spans="1:19">
      <c r="A9" s="60" t="s">
        <v>12</v>
      </c>
      <c r="B9" s="61" t="s">
        <v>13</v>
      </c>
      <c r="C9" s="62"/>
      <c r="D9" s="62"/>
      <c r="E9" s="62"/>
      <c r="F9" s="63"/>
      <c r="G9" s="60" t="s">
        <v>11</v>
      </c>
      <c r="H9" s="112">
        <v>80</v>
      </c>
      <c r="I9" s="112">
        <v>102.48</v>
      </c>
      <c r="J9" s="23">
        <f t="shared" si="1"/>
        <v>8198.4</v>
      </c>
      <c r="K9" s="23"/>
      <c r="L9" s="23">
        <f t="shared" si="2"/>
        <v>0.13647266177122486</v>
      </c>
      <c r="M9" s="24" t="str">
        <f t="shared" si="3"/>
        <v>SIG</v>
      </c>
      <c r="N9" s="21">
        <f t="shared" si="4"/>
        <v>8198.4</v>
      </c>
      <c r="O9" s="21">
        <f t="shared" si="0"/>
        <v>8198.4</v>
      </c>
      <c r="P9" s="21">
        <f t="shared" si="5"/>
        <v>36902.400000000001</v>
      </c>
      <c r="Q9" s="21">
        <f t="shared" si="6"/>
        <v>0</v>
      </c>
      <c r="R9" s="22">
        <v>3</v>
      </c>
      <c r="S9" s="5"/>
    </row>
    <row r="10" spans="1:19">
      <c r="A10" s="60" t="s">
        <v>14</v>
      </c>
      <c r="B10" s="61" t="s">
        <v>15</v>
      </c>
      <c r="C10" s="62"/>
      <c r="D10" s="62"/>
      <c r="E10" s="62"/>
      <c r="F10" s="63"/>
      <c r="G10" s="60" t="s">
        <v>11</v>
      </c>
      <c r="H10" s="112">
        <v>320</v>
      </c>
      <c r="I10" s="112">
        <v>45.17</v>
      </c>
      <c r="J10" s="23">
        <f t="shared" si="1"/>
        <v>14454.4</v>
      </c>
      <c r="K10" s="23"/>
      <c r="L10" s="23">
        <f t="shared" si="2"/>
        <v>0.24061163669813529</v>
      </c>
      <c r="M10" s="24" t="str">
        <f t="shared" si="3"/>
        <v>SIG</v>
      </c>
      <c r="N10" s="21">
        <f t="shared" si="4"/>
        <v>14454.4</v>
      </c>
      <c r="O10" s="21">
        <f t="shared" si="0"/>
        <v>5089.6000000000004</v>
      </c>
      <c r="P10" s="21">
        <f t="shared" si="5"/>
        <v>41992</v>
      </c>
      <c r="Q10" s="21">
        <f t="shared" si="6"/>
        <v>0</v>
      </c>
      <c r="R10" s="22">
        <v>4</v>
      </c>
      <c r="S10" s="5"/>
    </row>
    <row r="11" spans="1:19">
      <c r="A11" s="60" t="s">
        <v>16</v>
      </c>
      <c r="B11" s="61" t="s">
        <v>17</v>
      </c>
      <c r="C11" s="62"/>
      <c r="D11" s="62"/>
      <c r="E11" s="62"/>
      <c r="F11" s="63"/>
      <c r="G11" s="60" t="s">
        <v>11</v>
      </c>
      <c r="H11" s="112">
        <v>320</v>
      </c>
      <c r="I11" s="112">
        <v>15.31</v>
      </c>
      <c r="J11" s="23">
        <f t="shared" si="1"/>
        <v>4899.2</v>
      </c>
      <c r="K11" s="23"/>
      <c r="L11" s="23">
        <f t="shared" si="2"/>
        <v>8.1553335351969264E-2</v>
      </c>
      <c r="M11" s="24" t="str">
        <f t="shared" si="3"/>
        <v>SIG</v>
      </c>
      <c r="N11" s="21">
        <f t="shared" si="4"/>
        <v>4899.2</v>
      </c>
      <c r="O11" s="21">
        <f t="shared" si="0"/>
        <v>4899.2</v>
      </c>
      <c r="P11" s="21">
        <f t="shared" si="5"/>
        <v>46891.199999999997</v>
      </c>
      <c r="Q11" s="21">
        <f t="shared" si="6"/>
        <v>0</v>
      </c>
      <c r="R11" s="22">
        <v>5</v>
      </c>
      <c r="S11" s="5"/>
    </row>
    <row r="12" spans="1:19">
      <c r="A12" s="60" t="s">
        <v>18</v>
      </c>
      <c r="B12" s="61" t="s">
        <v>19</v>
      </c>
      <c r="C12" s="62"/>
      <c r="D12" s="62"/>
      <c r="E12" s="62"/>
      <c r="F12" s="63"/>
      <c r="G12" s="60" t="s">
        <v>11</v>
      </c>
      <c r="H12" s="112">
        <v>160</v>
      </c>
      <c r="I12" s="112">
        <v>31.81</v>
      </c>
      <c r="J12" s="23">
        <f t="shared" si="1"/>
        <v>5089.6000000000004</v>
      </c>
      <c r="K12" s="23"/>
      <c r="L12" s="23">
        <f t="shared" si="2"/>
        <v>8.47227824149622E-2</v>
      </c>
      <c r="M12" s="24" t="str">
        <f t="shared" si="3"/>
        <v>SIG</v>
      </c>
      <c r="N12" s="21">
        <f t="shared" si="4"/>
        <v>5089.6000000000004</v>
      </c>
      <c r="O12" s="21">
        <f t="shared" si="0"/>
        <v>4400</v>
      </c>
      <c r="P12" s="21">
        <f t="shared" si="5"/>
        <v>51291.199999999997</v>
      </c>
      <c r="Q12" s="21">
        <f t="shared" si="6"/>
        <v>4400</v>
      </c>
      <c r="R12" s="22">
        <v>6</v>
      </c>
      <c r="S12" s="5"/>
    </row>
    <row r="13" spans="1:19">
      <c r="A13" s="60" t="s">
        <v>20</v>
      </c>
      <c r="B13" s="61" t="s">
        <v>21</v>
      </c>
      <c r="C13" s="62"/>
      <c r="D13" s="62"/>
      <c r="E13" s="62"/>
      <c r="F13" s="63"/>
      <c r="G13" s="60" t="s">
        <v>11</v>
      </c>
      <c r="H13" s="112">
        <v>80</v>
      </c>
      <c r="I13" s="112">
        <v>45.17</v>
      </c>
      <c r="J13" s="23">
        <f t="shared" si="1"/>
        <v>3613.6</v>
      </c>
      <c r="K13" s="23"/>
      <c r="L13" s="23">
        <f t="shared" si="2"/>
        <v>6.0152909174533822E-2</v>
      </c>
      <c r="M13" s="24" t="str">
        <f t="shared" si="3"/>
        <v/>
      </c>
      <c r="N13" s="21">
        <f t="shared" si="4"/>
        <v>3613.6</v>
      </c>
      <c r="O13" s="21">
        <f t="shared" si="0"/>
        <v>3613.6</v>
      </c>
      <c r="P13" s="21">
        <f t="shared" si="5"/>
        <v>54904.799999999996</v>
      </c>
      <c r="Q13" s="21">
        <f t="shared" si="6"/>
        <v>3613.6</v>
      </c>
      <c r="R13" s="22">
        <v>7</v>
      </c>
      <c r="S13" s="5"/>
    </row>
    <row r="14" spans="1:19">
      <c r="A14" s="64"/>
      <c r="B14" s="65" t="s">
        <v>22</v>
      </c>
      <c r="C14" s="66"/>
      <c r="D14" s="66"/>
      <c r="E14" s="66"/>
      <c r="F14" s="67"/>
      <c r="G14" s="68"/>
      <c r="H14" s="25"/>
      <c r="I14" s="25"/>
      <c r="J14" s="25">
        <f>SUM(J8:J13)</f>
        <v>50504.799999999996</v>
      </c>
      <c r="K14" s="25">
        <f>ROUND(J14*J34,2)</f>
        <v>127524.62</v>
      </c>
      <c r="L14" s="25"/>
      <c r="M14" s="26"/>
      <c r="N14" s="21"/>
      <c r="O14" s="21">
        <f t="shared" si="0"/>
        <v>2860.52</v>
      </c>
      <c r="P14" s="21">
        <f t="shared" si="5"/>
        <v>57765.319999999992</v>
      </c>
      <c r="Q14" s="21">
        <f t="shared" si="6"/>
        <v>2860.52</v>
      </c>
      <c r="R14" s="22">
        <v>8</v>
      </c>
      <c r="S14" s="5"/>
    </row>
    <row r="15" spans="1:19">
      <c r="A15" s="56">
        <v>2</v>
      </c>
      <c r="B15" s="57" t="s">
        <v>23</v>
      </c>
      <c r="C15" s="58"/>
      <c r="D15" s="58"/>
      <c r="E15" s="58"/>
      <c r="F15" s="59"/>
      <c r="G15" s="56"/>
      <c r="H15" s="19"/>
      <c r="I15" s="19"/>
      <c r="J15" s="19"/>
      <c r="K15" s="19"/>
      <c r="L15" s="19"/>
      <c r="M15" s="20"/>
      <c r="N15" s="21"/>
      <c r="O15" s="21">
        <f t="shared" si="0"/>
        <v>2050</v>
      </c>
      <c r="P15" s="21">
        <f t="shared" si="5"/>
        <v>59815.319999999992</v>
      </c>
      <c r="Q15" s="21">
        <f t="shared" si="6"/>
        <v>2050</v>
      </c>
      <c r="R15" s="22">
        <v>9</v>
      </c>
      <c r="S15" s="5"/>
    </row>
    <row r="16" spans="1:19">
      <c r="A16" s="56" t="s">
        <v>24</v>
      </c>
      <c r="B16" s="57" t="s">
        <v>25</v>
      </c>
      <c r="C16" s="58"/>
      <c r="D16" s="58"/>
      <c r="E16" s="58"/>
      <c r="F16" s="59"/>
      <c r="G16" s="56"/>
      <c r="H16" s="19"/>
      <c r="I16" s="19"/>
      <c r="J16" s="19"/>
      <c r="K16" s="19"/>
      <c r="L16" s="19"/>
      <c r="M16" s="20"/>
      <c r="N16" s="21"/>
      <c r="O16" s="21">
        <f t="shared" si="0"/>
        <v>150</v>
      </c>
      <c r="P16" s="21">
        <f t="shared" si="5"/>
        <v>59965.319999999992</v>
      </c>
      <c r="Q16" s="21">
        <f t="shared" si="6"/>
        <v>150</v>
      </c>
      <c r="R16" s="22">
        <v>10</v>
      </c>
      <c r="S16" s="5"/>
    </row>
    <row r="17" spans="1:19">
      <c r="A17" s="60" t="s">
        <v>26</v>
      </c>
      <c r="B17" s="61" t="s">
        <v>27</v>
      </c>
      <c r="C17" s="62"/>
      <c r="D17" s="62"/>
      <c r="E17" s="62"/>
      <c r="F17" s="63"/>
      <c r="G17" s="60" t="s">
        <v>28</v>
      </c>
      <c r="H17" s="112">
        <v>1</v>
      </c>
      <c r="I17" s="112">
        <v>2860.52</v>
      </c>
      <c r="J17" s="23">
        <f t="shared" ref="J17:J22" si="7">ROUND(H17*I17,2)</f>
        <v>2860.52</v>
      </c>
      <c r="K17" s="23"/>
      <c r="L17" s="23">
        <f t="shared" ref="L17:L22" si="8">IF($J$24&lt;&gt;0,J17/$J$24,0)</f>
        <v>4.7616947020128822E-2</v>
      </c>
      <c r="M17" s="24" t="str">
        <f t="shared" ref="M17:M22" si="9">IF(J17&gt;=$Q$6,"SIG","")</f>
        <v/>
      </c>
      <c r="N17" s="21">
        <f t="shared" ref="N17:N22" si="10">J17</f>
        <v>2860.52</v>
      </c>
      <c r="O17" s="21">
        <f t="shared" si="0"/>
        <v>75</v>
      </c>
      <c r="P17" s="21">
        <f t="shared" si="5"/>
        <v>60040.319999999992</v>
      </c>
      <c r="Q17" s="21">
        <f t="shared" si="6"/>
        <v>75</v>
      </c>
      <c r="R17" s="22">
        <v>11</v>
      </c>
      <c r="S17" s="5"/>
    </row>
    <row r="18" spans="1:19">
      <c r="A18" s="60" t="s">
        <v>29</v>
      </c>
      <c r="B18" s="61" t="s">
        <v>30</v>
      </c>
      <c r="C18" s="62"/>
      <c r="D18" s="62"/>
      <c r="E18" s="62"/>
      <c r="F18" s="63"/>
      <c r="G18" s="60" t="s">
        <v>31</v>
      </c>
      <c r="H18" s="112">
        <v>400</v>
      </c>
      <c r="I18" s="112">
        <v>11</v>
      </c>
      <c r="J18" s="23">
        <f t="shared" si="7"/>
        <v>4400</v>
      </c>
      <c r="K18" s="23"/>
      <c r="L18" s="23">
        <f t="shared" si="8"/>
        <v>7.3243524564962595E-2</v>
      </c>
      <c r="M18" s="24" t="str">
        <f t="shared" si="9"/>
        <v>SIG</v>
      </c>
      <c r="N18" s="21">
        <f t="shared" si="10"/>
        <v>4400</v>
      </c>
      <c r="O18" s="21">
        <f t="shared" si="0"/>
        <v>33.25</v>
      </c>
      <c r="P18" s="21">
        <f t="shared" si="5"/>
        <v>60073.569999999992</v>
      </c>
      <c r="Q18" s="21">
        <f t="shared" si="6"/>
        <v>33.25</v>
      </c>
      <c r="R18" s="22">
        <v>12</v>
      </c>
      <c r="S18" s="5"/>
    </row>
    <row r="19" spans="1:19">
      <c r="A19" s="60" t="s">
        <v>32</v>
      </c>
      <c r="B19" s="61" t="s">
        <v>33</v>
      </c>
      <c r="C19" s="62"/>
      <c r="D19" s="62"/>
      <c r="E19" s="62"/>
      <c r="F19" s="63"/>
      <c r="G19" s="60" t="s">
        <v>34</v>
      </c>
      <c r="H19" s="112">
        <v>1000</v>
      </c>
      <c r="I19" s="112">
        <v>0.15</v>
      </c>
      <c r="J19" s="23">
        <f t="shared" si="7"/>
        <v>150</v>
      </c>
      <c r="K19" s="23"/>
      <c r="L19" s="23">
        <f t="shared" si="8"/>
        <v>2.4969383374419066E-3</v>
      </c>
      <c r="M19" s="24" t="str">
        <f t="shared" si="9"/>
        <v/>
      </c>
      <c r="N19" s="21">
        <f t="shared" si="10"/>
        <v>150</v>
      </c>
      <c r="O19" s="21"/>
      <c r="P19" s="21">
        <f t="shared" si="5"/>
        <v>60073.569999999992</v>
      </c>
      <c r="Q19" s="21">
        <f t="shared" si="6"/>
        <v>0</v>
      </c>
      <c r="R19" s="22"/>
      <c r="S19" s="5"/>
    </row>
    <row r="20" spans="1:19">
      <c r="A20" s="60" t="s">
        <v>35</v>
      </c>
      <c r="B20" s="61" t="s">
        <v>36</v>
      </c>
      <c r="C20" s="62"/>
      <c r="D20" s="62"/>
      <c r="E20" s="62"/>
      <c r="F20" s="63"/>
      <c r="G20" s="60" t="s">
        <v>34</v>
      </c>
      <c r="H20" s="112">
        <v>7</v>
      </c>
      <c r="I20" s="112">
        <v>4.75</v>
      </c>
      <c r="J20" s="23">
        <f t="shared" si="7"/>
        <v>33.25</v>
      </c>
      <c r="K20" s="23"/>
      <c r="L20" s="23">
        <f t="shared" si="8"/>
        <v>5.5348799813295603E-4</v>
      </c>
      <c r="M20" s="24" t="str">
        <f t="shared" si="9"/>
        <v/>
      </c>
      <c r="N20" s="21">
        <f t="shared" si="10"/>
        <v>33.25</v>
      </c>
      <c r="O20" s="21"/>
      <c r="P20" s="21">
        <f t="shared" si="5"/>
        <v>60073.569999999992</v>
      </c>
      <c r="Q20" s="21">
        <f t="shared" si="6"/>
        <v>0</v>
      </c>
      <c r="R20" s="22"/>
      <c r="S20" s="5"/>
    </row>
    <row r="21" spans="1:19">
      <c r="A21" s="60" t="s">
        <v>37</v>
      </c>
      <c r="B21" s="61" t="s">
        <v>38</v>
      </c>
      <c r="C21" s="62"/>
      <c r="D21" s="62"/>
      <c r="E21" s="62"/>
      <c r="F21" s="63"/>
      <c r="G21" s="60" t="s">
        <v>34</v>
      </c>
      <c r="H21" s="112">
        <v>10</v>
      </c>
      <c r="I21" s="112">
        <v>205</v>
      </c>
      <c r="J21" s="23">
        <f t="shared" si="7"/>
        <v>2050</v>
      </c>
      <c r="K21" s="23"/>
      <c r="L21" s="23">
        <f t="shared" si="8"/>
        <v>3.4124823945039393E-2</v>
      </c>
      <c r="M21" s="24" t="str">
        <f t="shared" si="9"/>
        <v/>
      </c>
      <c r="N21" s="21">
        <f t="shared" si="10"/>
        <v>2050</v>
      </c>
      <c r="O21" s="21"/>
      <c r="P21" s="21">
        <f t="shared" si="5"/>
        <v>60073.569999999992</v>
      </c>
      <c r="Q21" s="21">
        <f t="shared" si="6"/>
        <v>0</v>
      </c>
      <c r="R21" s="22"/>
      <c r="S21" s="5"/>
    </row>
    <row r="22" spans="1:19">
      <c r="A22" s="60" t="s">
        <v>39</v>
      </c>
      <c r="B22" s="61" t="s">
        <v>40</v>
      </c>
      <c r="C22" s="62"/>
      <c r="D22" s="62"/>
      <c r="E22" s="62"/>
      <c r="F22" s="63"/>
      <c r="G22" s="60" t="s">
        <v>34</v>
      </c>
      <c r="H22" s="112">
        <v>5</v>
      </c>
      <c r="I22" s="112">
        <v>15</v>
      </c>
      <c r="J22" s="23">
        <f t="shared" si="7"/>
        <v>75</v>
      </c>
      <c r="K22" s="23"/>
      <c r="L22" s="23">
        <f t="shared" si="8"/>
        <v>1.2484691687209533E-3</v>
      </c>
      <c r="M22" s="24" t="str">
        <f t="shared" si="9"/>
        <v/>
      </c>
      <c r="N22" s="21">
        <f t="shared" si="10"/>
        <v>75</v>
      </c>
      <c r="O22" s="21"/>
      <c r="P22" s="21">
        <f t="shared" si="5"/>
        <v>60073.569999999992</v>
      </c>
      <c r="Q22" s="21">
        <f t="shared" si="6"/>
        <v>0</v>
      </c>
      <c r="R22" s="22"/>
      <c r="S22" s="5"/>
    </row>
    <row r="23" spans="1:19">
      <c r="A23" s="64"/>
      <c r="B23" s="65" t="s">
        <v>22</v>
      </c>
      <c r="C23" s="66"/>
      <c r="D23" s="66"/>
      <c r="E23" s="66"/>
      <c r="F23" s="67"/>
      <c r="G23" s="68"/>
      <c r="H23" s="25"/>
      <c r="I23" s="25"/>
      <c r="J23" s="25">
        <f>SUM(J17:J22)</f>
        <v>9568.77</v>
      </c>
      <c r="K23" s="25">
        <f>ROUND(J23*J35,2)</f>
        <v>12133.2</v>
      </c>
      <c r="L23" s="25"/>
      <c r="M23" s="26"/>
      <c r="N23" s="21"/>
      <c r="O23" s="21"/>
      <c r="P23" s="21">
        <f t="shared" si="5"/>
        <v>60073.569999999992</v>
      </c>
      <c r="Q23" s="21">
        <f t="shared" si="6"/>
        <v>0</v>
      </c>
      <c r="R23" s="22"/>
      <c r="S23" s="5"/>
    </row>
    <row r="24" spans="1:19">
      <c r="A24" s="69"/>
      <c r="B24" s="70" t="s">
        <v>41</v>
      </c>
      <c r="C24" s="71"/>
      <c r="D24" s="71"/>
      <c r="E24" s="71"/>
      <c r="F24" s="72"/>
      <c r="G24" s="69"/>
      <c r="H24" s="27"/>
      <c r="I24" s="27"/>
      <c r="J24" s="27">
        <f>(SUM(J8:J23))/2</f>
        <v>60073.57</v>
      </c>
      <c r="K24" s="27">
        <f>(SUM(K8:K23))/1</f>
        <v>139657.82</v>
      </c>
      <c r="L24" s="27"/>
      <c r="M24" s="28"/>
      <c r="N24" s="21"/>
      <c r="O24" s="21"/>
      <c r="P24" s="21">
        <f t="shared" si="5"/>
        <v>60073.569999999992</v>
      </c>
      <c r="Q24" s="21">
        <f t="shared" si="6"/>
        <v>0</v>
      </c>
      <c r="R24" s="22"/>
    </row>
    <row r="26" spans="1:19">
      <c r="A26" s="56">
        <v>3</v>
      </c>
      <c r="B26" s="57" t="s">
        <v>42</v>
      </c>
      <c r="C26" s="58"/>
      <c r="D26" s="58"/>
      <c r="E26" s="58"/>
      <c r="F26" s="59"/>
      <c r="G26" s="56"/>
      <c r="H26" s="19"/>
      <c r="I26" s="19"/>
      <c r="J26" s="19"/>
      <c r="K26" s="19"/>
      <c r="L26" s="19"/>
      <c r="M26" s="20"/>
    </row>
    <row r="27" spans="1:19">
      <c r="A27" s="60" t="s">
        <v>43</v>
      </c>
      <c r="B27" s="61" t="s">
        <v>44</v>
      </c>
      <c r="C27" s="62"/>
      <c r="D27" s="62"/>
      <c r="E27" s="62"/>
      <c r="F27" s="63"/>
      <c r="G27" s="60" t="s">
        <v>6</v>
      </c>
      <c r="H27" s="73"/>
      <c r="I27" s="73"/>
      <c r="J27" s="29">
        <v>0.81789999999999996</v>
      </c>
      <c r="K27" s="23"/>
      <c r="L27" s="23"/>
      <c r="M27" s="24"/>
    </row>
    <row r="28" spans="1:19">
      <c r="A28" s="60" t="s">
        <v>45</v>
      </c>
      <c r="B28" s="61" t="s">
        <v>46</v>
      </c>
      <c r="C28" s="62"/>
      <c r="D28" s="62"/>
      <c r="E28" s="62"/>
      <c r="F28" s="63"/>
      <c r="G28" s="60" t="s">
        <v>6</v>
      </c>
      <c r="H28" s="73"/>
      <c r="I28" s="73"/>
      <c r="J28" s="113">
        <v>0.1729</v>
      </c>
      <c r="K28" s="23"/>
      <c r="L28" s="23"/>
      <c r="M28" s="24"/>
    </row>
    <row r="29" spans="1:19">
      <c r="A29" s="60" t="s">
        <v>47</v>
      </c>
      <c r="B29" s="61" t="s">
        <v>48</v>
      </c>
      <c r="C29" s="62"/>
      <c r="D29" s="62"/>
      <c r="E29" s="62"/>
      <c r="F29" s="63"/>
      <c r="G29" s="60" t="s">
        <v>6</v>
      </c>
      <c r="H29" s="73"/>
      <c r="I29" s="73"/>
      <c r="J29" s="113">
        <v>8.7599999999999997E-2</v>
      </c>
      <c r="K29" s="23"/>
      <c r="L29" s="23"/>
      <c r="M29" s="24"/>
    </row>
    <row r="30" spans="1:19">
      <c r="A30" s="60" t="s">
        <v>49</v>
      </c>
      <c r="B30" s="61" t="s">
        <v>50</v>
      </c>
      <c r="C30" s="62"/>
      <c r="D30" s="62"/>
      <c r="E30" s="62"/>
      <c r="F30" s="63"/>
      <c r="G30" s="60"/>
      <c r="H30" s="73"/>
      <c r="I30" s="73"/>
      <c r="J30" s="30">
        <f>(H31+H32+H33)/(1-(H31+H32+H33))</f>
        <v>0.16618075801749274</v>
      </c>
      <c r="K30" s="23"/>
      <c r="L30" s="23"/>
      <c r="M30" s="24"/>
    </row>
    <row r="31" spans="1:19">
      <c r="A31" s="60"/>
      <c r="B31" s="61"/>
      <c r="C31" s="62"/>
      <c r="D31" s="62"/>
      <c r="E31" s="62"/>
      <c r="F31" s="74" t="s">
        <v>51</v>
      </c>
      <c r="G31" s="60" t="s">
        <v>6</v>
      </c>
      <c r="H31" s="113">
        <v>1.6500000000000001E-2</v>
      </c>
      <c r="I31" s="31"/>
      <c r="J31" s="31"/>
      <c r="K31" s="23"/>
      <c r="L31" s="23"/>
      <c r="M31" s="24"/>
    </row>
    <row r="32" spans="1:19">
      <c r="A32" s="60"/>
      <c r="B32" s="61"/>
      <c r="C32" s="62"/>
      <c r="D32" s="62"/>
      <c r="E32" s="62"/>
      <c r="F32" s="74" t="s">
        <v>52</v>
      </c>
      <c r="G32" s="60" t="s">
        <v>6</v>
      </c>
      <c r="H32" s="113">
        <v>7.5999999999999998E-2</v>
      </c>
      <c r="I32" s="31"/>
      <c r="J32" s="31"/>
      <c r="K32" s="23"/>
      <c r="L32" s="23"/>
      <c r="M32" s="24"/>
    </row>
    <row r="33" spans="1:13">
      <c r="A33" s="60"/>
      <c r="B33" s="61"/>
      <c r="C33" s="62"/>
      <c r="D33" s="62"/>
      <c r="E33" s="62"/>
      <c r="F33" s="74" t="s">
        <v>53</v>
      </c>
      <c r="G33" s="60" t="s">
        <v>6</v>
      </c>
      <c r="H33" s="113">
        <v>0.05</v>
      </c>
      <c r="I33" s="31"/>
      <c r="J33" s="31"/>
      <c r="K33" s="23"/>
      <c r="L33" s="23"/>
      <c r="M33" s="24"/>
    </row>
    <row r="34" spans="1:13">
      <c r="A34" s="32" t="s">
        <v>54</v>
      </c>
      <c r="B34" s="61" t="s">
        <v>55</v>
      </c>
      <c r="C34" s="62"/>
      <c r="D34" s="62"/>
      <c r="E34" s="62"/>
      <c r="F34" s="74"/>
      <c r="G34" s="32"/>
      <c r="H34" s="33"/>
      <c r="I34" s="34"/>
      <c r="J34" s="35">
        <f>ROUND((1+J27+J28)*(1+J29)*(1+J30),3)</f>
        <v>2.5249999999999999</v>
      </c>
      <c r="K34" s="34"/>
      <c r="L34" s="36"/>
      <c r="M34" s="37"/>
    </row>
    <row r="35" spans="1:13">
      <c r="A35" s="32" t="s">
        <v>56</v>
      </c>
      <c r="B35" s="61" t="s">
        <v>57</v>
      </c>
      <c r="C35" s="62"/>
      <c r="D35" s="62"/>
      <c r="E35" s="62"/>
      <c r="F35" s="74"/>
      <c r="G35" s="32"/>
      <c r="H35" s="33"/>
      <c r="I35" s="34"/>
      <c r="J35" s="35">
        <f>ROUND((1+J29)*(1+J30),3)</f>
        <v>1.268</v>
      </c>
      <c r="K35" s="34"/>
      <c r="L35" s="36"/>
      <c r="M35" s="37"/>
    </row>
    <row r="36" spans="1:13">
      <c r="A36" s="32"/>
      <c r="B36" s="61"/>
      <c r="C36" s="62"/>
      <c r="D36" s="62"/>
      <c r="E36" s="62"/>
      <c r="F36" s="74"/>
      <c r="G36" s="32"/>
      <c r="H36" s="33"/>
      <c r="I36" s="34"/>
      <c r="J36" s="23"/>
      <c r="K36" s="34"/>
      <c r="L36" s="36"/>
      <c r="M36" s="37"/>
    </row>
    <row r="39" spans="1:13">
      <c r="I39" s="38"/>
      <c r="J39" s="38"/>
      <c r="K39" s="38"/>
      <c r="L39" s="38"/>
      <c r="M39" s="38"/>
    </row>
    <row r="40" spans="1:13">
      <c r="I40" s="114" t="s">
        <v>58</v>
      </c>
      <c r="J40" s="114"/>
      <c r="K40" s="114"/>
      <c r="L40" s="114"/>
      <c r="M40" s="114"/>
    </row>
  </sheetData>
  <sheetProtection password="B882" sheet="1" formatCells="0" formatColumns="0" formatRows="0" insertColumns="0" insertRows="0" insertHyperlinks="0" deleteColumns="0" deleteRows="0" sort="0" autoFilter="0" pivotTables="0"/>
  <mergeCells count="2">
    <mergeCell ref="I40:M40"/>
    <mergeCell ref="C2:M2"/>
  </mergeCells>
  <phoneticPr fontId="0" type="noConversion"/>
  <conditionalFormatting sqref="B7:B24 B26:B36">
    <cfRule type="expression" dxfId="23" priority="1" stopIfTrue="1">
      <formula>#REF!=1</formula>
    </cfRule>
    <cfRule type="expression" dxfId="22" priority="2" stopIfTrue="1">
      <formula>#REF!=4</formula>
    </cfRule>
    <cfRule type="expression" dxfId="21" priority="3" stopIfTrue="1">
      <formula>#REF!=2</formula>
    </cfRule>
  </conditionalFormatting>
  <conditionalFormatting sqref="C7:E24 C26:E36">
    <cfRule type="expression" dxfId="20" priority="4" stopIfTrue="1">
      <formula>#REF!=1</formula>
    </cfRule>
    <cfRule type="expression" dxfId="19" priority="5" stopIfTrue="1">
      <formula>#REF!=4</formula>
    </cfRule>
    <cfRule type="expression" dxfId="18" priority="6" stopIfTrue="1">
      <formula>#REF!=2</formula>
    </cfRule>
  </conditionalFormatting>
  <conditionalFormatting sqref="F7:F24 F26:F36">
    <cfRule type="expression" dxfId="17" priority="7" stopIfTrue="1">
      <formula>#REF!=1</formula>
    </cfRule>
    <cfRule type="expression" dxfId="16" priority="8" stopIfTrue="1">
      <formula>#REF!=4</formula>
    </cfRule>
    <cfRule type="expression" dxfId="15" priority="9" stopIfTrue="1">
      <formula>#REF!=2</formula>
    </cfRule>
  </conditionalFormatting>
  <conditionalFormatting sqref="J34:J36 K26:M33 I26:J30 G26:H33 G7:R24">
    <cfRule type="expression" dxfId="14" priority="10" stopIfTrue="1">
      <formula>#REF!=1</formula>
    </cfRule>
    <cfRule type="expression" dxfId="13" priority="11" stopIfTrue="1">
      <formula>#REF!=4</formula>
    </cfRule>
    <cfRule type="expression" dxfId="12" priority="12" stopIfTrue="1">
      <formula>#REF!=2</formula>
    </cfRule>
  </conditionalFormatting>
  <conditionalFormatting sqref="A7:A24 A26:A33">
    <cfRule type="expression" dxfId="11" priority="13" stopIfTrue="1">
      <formula>#REF!=1</formula>
    </cfRule>
    <cfRule type="expression" dxfId="10" priority="14" stopIfTrue="1">
      <formula>#REF!=4</formula>
    </cfRule>
    <cfRule type="expression" dxfId="9" priority="15" stopIfTrue="1">
      <formula>#REF!=2</formula>
    </cfRule>
  </conditionalFormatting>
  <printOptions horizontalCentered="1"/>
  <pageMargins left="0.78740157480314965" right="0.78740157480314965" top="0.78740157480314965" bottom="0.59055118110236227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W34"/>
  <sheetViews>
    <sheetView tabSelected="1" zoomScale="70" zoomScaleNormal="75" workbookViewId="0">
      <selection activeCell="A5" sqref="A5:V25"/>
    </sheetView>
  </sheetViews>
  <sheetFormatPr defaultRowHeight="12.75"/>
  <cols>
    <col min="1" max="1" width="5.42578125" style="2" customWidth="1"/>
    <col min="2" max="2" width="30.7109375" style="2" bestFit="1" customWidth="1"/>
    <col min="3" max="3" width="13.85546875" style="4" customWidth="1"/>
    <col min="4" max="4" width="8.7109375" style="3" customWidth="1"/>
    <col min="5" max="5" width="10.7109375" style="3" customWidth="1"/>
    <col min="6" max="6" width="10.7109375" style="3" hidden="1" customWidth="1"/>
    <col min="7" max="7" width="10.7109375" style="3" bestFit="1" customWidth="1"/>
    <col min="8" max="8" width="10.7109375" style="3" customWidth="1"/>
    <col min="9" max="9" width="10.7109375" style="76" hidden="1" customWidth="1"/>
    <col min="10" max="10" width="12" style="3" bestFit="1" customWidth="1"/>
    <col min="11" max="11" width="10.7109375" style="3" customWidth="1"/>
    <col min="12" max="12" width="10.7109375" style="76" hidden="1" customWidth="1"/>
    <col min="13" max="13" width="12" style="3" bestFit="1" customWidth="1"/>
    <col min="14" max="14" width="10.7109375" style="3" customWidth="1"/>
    <col min="15" max="15" width="10.7109375" style="76" hidden="1" customWidth="1"/>
    <col min="16" max="17" width="10.7109375" style="3" customWidth="1"/>
    <col min="18" max="18" width="10.7109375" style="76" hidden="1" customWidth="1"/>
    <col min="19" max="19" width="13.140625" style="3" bestFit="1" customWidth="1"/>
    <col min="20" max="20" width="10.7109375" style="3" customWidth="1"/>
    <col min="21" max="21" width="10.7109375" style="76" hidden="1" customWidth="1"/>
    <col min="22" max="22" width="13.140625" style="3" bestFit="1" customWidth="1"/>
    <col min="23" max="16384" width="9.140625" style="2"/>
  </cols>
  <sheetData>
    <row r="1" spans="1:23">
      <c r="A1" s="3"/>
      <c r="B1" s="1"/>
      <c r="C1" s="2"/>
      <c r="D1" s="2"/>
      <c r="E1" s="2"/>
      <c r="H1" s="4"/>
      <c r="I1" s="5"/>
      <c r="J1" s="4"/>
      <c r="K1" s="5"/>
      <c r="L1" s="6"/>
      <c r="M1" s="7"/>
      <c r="N1" s="7"/>
      <c r="O1" s="7"/>
      <c r="P1" s="7"/>
      <c r="Q1" s="7"/>
      <c r="R1" s="7"/>
      <c r="S1" s="2"/>
      <c r="T1" s="2"/>
      <c r="U1" s="2"/>
      <c r="V1" s="2"/>
    </row>
    <row r="2" spans="1:23" ht="18">
      <c r="A2" s="55"/>
      <c r="B2" s="75" t="s">
        <v>59</v>
      </c>
      <c r="C2" s="120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2"/>
      <c r="W2" s="42"/>
    </row>
    <row r="3" spans="1:23">
      <c r="A3" s="3"/>
      <c r="B3" s="1"/>
      <c r="C3" s="43"/>
      <c r="D3" s="43"/>
      <c r="E3" s="43"/>
      <c r="F3" s="44"/>
      <c r="G3" s="44"/>
      <c r="H3" s="45"/>
      <c r="I3" s="46"/>
      <c r="J3" s="45"/>
      <c r="K3" s="46"/>
      <c r="L3" s="47"/>
      <c r="M3" s="48"/>
      <c r="N3" s="48"/>
      <c r="O3" s="48"/>
      <c r="P3" s="48"/>
      <c r="Q3" s="48"/>
      <c r="R3" s="48"/>
      <c r="S3" s="43"/>
      <c r="T3" s="43"/>
      <c r="U3" s="43"/>
      <c r="V3" s="43"/>
    </row>
    <row r="4" spans="1:23">
      <c r="A4" s="3"/>
      <c r="B4" s="1"/>
      <c r="C4" s="49"/>
      <c r="D4" s="49"/>
      <c r="E4" s="49"/>
      <c r="F4" s="50"/>
      <c r="G4" s="50"/>
      <c r="H4" s="51"/>
      <c r="I4" s="52"/>
      <c r="J4" s="51"/>
      <c r="K4" s="52"/>
      <c r="L4" s="53"/>
      <c r="M4" s="54"/>
      <c r="N4" s="54"/>
      <c r="O4" s="54"/>
      <c r="P4" s="54"/>
      <c r="Q4" s="54"/>
      <c r="R4" s="54"/>
      <c r="S4" s="49"/>
      <c r="T4" s="49"/>
      <c r="U4" s="49"/>
      <c r="V4" s="49"/>
    </row>
    <row r="5" spans="1:23" ht="18">
      <c r="B5" s="55" t="s">
        <v>92</v>
      </c>
    </row>
    <row r="6" spans="1:23">
      <c r="A6" s="77"/>
      <c r="B6" s="77"/>
      <c r="C6" s="78"/>
    </row>
    <row r="7" spans="1:23">
      <c r="A7" s="117" t="s">
        <v>0</v>
      </c>
      <c r="B7" s="118" t="s">
        <v>60</v>
      </c>
      <c r="C7" s="118" t="s">
        <v>61</v>
      </c>
      <c r="D7" s="119" t="s">
        <v>62</v>
      </c>
      <c r="E7" s="119" t="s">
        <v>63</v>
      </c>
      <c r="F7" s="119"/>
      <c r="G7" s="119"/>
      <c r="H7" s="119" t="s">
        <v>64</v>
      </c>
      <c r="I7" s="119"/>
      <c r="J7" s="119"/>
      <c r="K7" s="119" t="s">
        <v>65</v>
      </c>
      <c r="L7" s="119"/>
      <c r="M7" s="119"/>
      <c r="N7" s="119" t="s">
        <v>66</v>
      </c>
      <c r="O7" s="119"/>
      <c r="P7" s="119"/>
      <c r="Q7" s="119" t="s">
        <v>67</v>
      </c>
      <c r="R7" s="119"/>
      <c r="S7" s="119"/>
      <c r="T7" s="119" t="s">
        <v>68</v>
      </c>
      <c r="U7" s="119"/>
      <c r="V7" s="119"/>
    </row>
    <row r="8" spans="1:23">
      <c r="A8" s="117"/>
      <c r="B8" s="118"/>
      <c r="C8" s="118"/>
      <c r="D8" s="119"/>
      <c r="E8" s="79" t="s">
        <v>69</v>
      </c>
      <c r="F8" s="79" t="s">
        <v>70</v>
      </c>
      <c r="G8" s="79" t="s">
        <v>71</v>
      </c>
      <c r="H8" s="79" t="s">
        <v>69</v>
      </c>
      <c r="I8" s="80" t="s">
        <v>70</v>
      </c>
      <c r="J8" s="79" t="s">
        <v>71</v>
      </c>
      <c r="K8" s="79" t="s">
        <v>69</v>
      </c>
      <c r="L8" s="80"/>
      <c r="M8" s="79" t="s">
        <v>71</v>
      </c>
      <c r="N8" s="79" t="s">
        <v>69</v>
      </c>
      <c r="O8" s="80"/>
      <c r="P8" s="79" t="s">
        <v>71</v>
      </c>
      <c r="Q8" s="79" t="s">
        <v>69</v>
      </c>
      <c r="R8" s="80"/>
      <c r="S8" s="79" t="s">
        <v>71</v>
      </c>
      <c r="T8" s="79" t="s">
        <v>69</v>
      </c>
      <c r="U8" s="80"/>
      <c r="V8" s="79" t="s">
        <v>71</v>
      </c>
    </row>
    <row r="9" spans="1:23" ht="12.75" customHeight="1">
      <c r="A9" s="81">
        <v>1</v>
      </c>
      <c r="B9" s="82" t="s">
        <v>72</v>
      </c>
      <c r="C9" s="83"/>
      <c r="D9" s="84"/>
      <c r="E9" s="85"/>
      <c r="F9" s="86"/>
      <c r="G9" s="87"/>
      <c r="H9" s="85"/>
      <c r="I9" s="86"/>
      <c r="J9" s="87"/>
      <c r="K9" s="85"/>
      <c r="L9" s="86"/>
      <c r="M9" s="87"/>
      <c r="N9" s="85"/>
      <c r="O9" s="86"/>
      <c r="P9" s="87"/>
      <c r="Q9" s="85"/>
      <c r="R9" s="86"/>
      <c r="S9" s="87"/>
      <c r="T9" s="85"/>
      <c r="U9" s="86"/>
      <c r="V9" s="87"/>
    </row>
    <row r="10" spans="1:23" ht="12.75" customHeight="1">
      <c r="A10" s="88" t="s">
        <v>9</v>
      </c>
      <c r="B10" s="89" t="s">
        <v>73</v>
      </c>
      <c r="C10" s="90">
        <f>0.05*Planilha!$K$24</f>
        <v>6982.8910000000005</v>
      </c>
      <c r="D10" s="91">
        <f>IF(C10=0,0,C10/$C$25)</f>
        <v>5.000000000000001E-2</v>
      </c>
      <c r="E10" s="109">
        <v>1</v>
      </c>
      <c r="F10" s="92">
        <f>C10*E10</f>
        <v>6982.8910000000005</v>
      </c>
      <c r="G10" s="93">
        <f t="shared" ref="G10:G22" si="0">IF(E10&gt;1,"ERR",E10)</f>
        <v>1</v>
      </c>
      <c r="H10" s="109"/>
      <c r="I10" s="92">
        <f t="shared" ref="I10:I22" si="1">C10*H10</f>
        <v>0</v>
      </c>
      <c r="J10" s="93">
        <f t="shared" ref="J10:J22" si="2">IF((H10+G10)&gt;1,"ERR",H10+G10)</f>
        <v>1</v>
      </c>
      <c r="K10" s="109"/>
      <c r="L10" s="92">
        <f t="shared" ref="L10:L22" si="3">C10*K10</f>
        <v>0</v>
      </c>
      <c r="M10" s="93">
        <f t="shared" ref="M10:M22" si="4">IF((K10+J10)&gt;1,"ERR",K10+J10)</f>
        <v>1</v>
      </c>
      <c r="N10" s="109"/>
      <c r="O10" s="92">
        <f t="shared" ref="O10:O22" si="5">C10*N10</f>
        <v>0</v>
      </c>
      <c r="P10" s="93">
        <f t="shared" ref="P10:P22" si="6">IF((N10+M10)&gt;1,"ERR",N10+M10)</f>
        <v>1</v>
      </c>
      <c r="Q10" s="109"/>
      <c r="R10" s="92">
        <f t="shared" ref="R10:R22" si="7">C10*Q10</f>
        <v>0</v>
      </c>
      <c r="S10" s="93">
        <f t="shared" ref="S10:S22" si="8">IF((Q10+P10)&gt;1,"ERR",Q10+P10)</f>
        <v>1</v>
      </c>
      <c r="T10" s="109"/>
      <c r="U10" s="92">
        <f t="shared" ref="U10:U22" si="9">C10*T10</f>
        <v>0</v>
      </c>
      <c r="V10" s="93">
        <f t="shared" ref="V10:V22" si="10">IF((T10+S10)&gt;1,"ERR",T10+S10)</f>
        <v>1</v>
      </c>
    </row>
    <row r="11" spans="1:23" ht="12.75" customHeight="1">
      <c r="A11" s="81">
        <v>2</v>
      </c>
      <c r="B11" s="82" t="s">
        <v>74</v>
      </c>
      <c r="C11" s="83"/>
      <c r="D11" s="84"/>
      <c r="E11" s="85"/>
      <c r="F11" s="86"/>
      <c r="G11" s="87"/>
      <c r="H11" s="85"/>
      <c r="I11" s="86"/>
      <c r="J11" s="87"/>
      <c r="K11" s="85"/>
      <c r="L11" s="86"/>
      <c r="M11" s="87"/>
      <c r="N11" s="85"/>
      <c r="O11" s="86"/>
      <c r="P11" s="87"/>
      <c r="Q11" s="85"/>
      <c r="R11" s="86"/>
      <c r="S11" s="87"/>
      <c r="T11" s="85"/>
      <c r="U11" s="86"/>
      <c r="V11" s="87"/>
    </row>
    <row r="12" spans="1:23" ht="12.75" customHeight="1">
      <c r="A12" s="88" t="s">
        <v>24</v>
      </c>
      <c r="B12" s="89" t="s">
        <v>75</v>
      </c>
      <c r="C12" s="90">
        <f>0.05*Planilha!$K$24</f>
        <v>6982.8910000000005</v>
      </c>
      <c r="D12" s="91">
        <f>IF(C12=0,0,C12/$C$25)</f>
        <v>5.000000000000001E-2</v>
      </c>
      <c r="E12" s="109"/>
      <c r="F12" s="92">
        <f>C12*E12</f>
        <v>0</v>
      </c>
      <c r="G12" s="93">
        <f t="shared" si="0"/>
        <v>0</v>
      </c>
      <c r="H12" s="109">
        <v>1</v>
      </c>
      <c r="I12" s="92">
        <f t="shared" si="1"/>
        <v>6982.8910000000005</v>
      </c>
      <c r="J12" s="93">
        <f t="shared" si="2"/>
        <v>1</v>
      </c>
      <c r="K12" s="109"/>
      <c r="L12" s="92">
        <f t="shared" si="3"/>
        <v>0</v>
      </c>
      <c r="M12" s="93">
        <f t="shared" si="4"/>
        <v>1</v>
      </c>
      <c r="N12" s="109"/>
      <c r="O12" s="92">
        <f t="shared" si="5"/>
        <v>0</v>
      </c>
      <c r="P12" s="93">
        <f t="shared" si="6"/>
        <v>1</v>
      </c>
      <c r="Q12" s="109"/>
      <c r="R12" s="92">
        <f t="shared" si="7"/>
        <v>0</v>
      </c>
      <c r="S12" s="93">
        <f t="shared" si="8"/>
        <v>1</v>
      </c>
      <c r="T12" s="109"/>
      <c r="U12" s="92">
        <f t="shared" si="9"/>
        <v>0</v>
      </c>
      <c r="V12" s="93">
        <f t="shared" si="10"/>
        <v>1</v>
      </c>
    </row>
    <row r="13" spans="1:23" ht="12.75" customHeight="1">
      <c r="A13" s="81">
        <v>3</v>
      </c>
      <c r="B13" s="82" t="s">
        <v>76</v>
      </c>
      <c r="C13" s="83"/>
      <c r="D13" s="84"/>
      <c r="E13" s="85"/>
      <c r="F13" s="86"/>
      <c r="G13" s="87"/>
      <c r="H13" s="85"/>
      <c r="I13" s="86"/>
      <c r="J13" s="87"/>
      <c r="K13" s="85"/>
      <c r="L13" s="86"/>
      <c r="M13" s="87"/>
      <c r="N13" s="85"/>
      <c r="O13" s="86"/>
      <c r="P13" s="87"/>
      <c r="Q13" s="85"/>
      <c r="R13" s="86"/>
      <c r="S13" s="87"/>
      <c r="T13" s="85"/>
      <c r="U13" s="86"/>
      <c r="V13" s="87"/>
    </row>
    <row r="14" spans="1:23" ht="12.75" customHeight="1">
      <c r="A14" s="88" t="s">
        <v>43</v>
      </c>
      <c r="B14" s="89" t="s">
        <v>77</v>
      </c>
      <c r="C14" s="90">
        <f>0.35*Planilha!$K$24</f>
        <v>48880.237000000001</v>
      </c>
      <c r="D14" s="91">
        <f>IF(C14=0,0,C14/$C$25)</f>
        <v>0.35000000000000009</v>
      </c>
      <c r="E14" s="109"/>
      <c r="F14" s="92">
        <f t="shared" ref="F14:F22" si="11">C14*E14</f>
        <v>0</v>
      </c>
      <c r="G14" s="93">
        <f t="shared" si="0"/>
        <v>0</v>
      </c>
      <c r="H14" s="109"/>
      <c r="I14" s="92">
        <f t="shared" si="1"/>
        <v>0</v>
      </c>
      <c r="J14" s="93">
        <f t="shared" si="2"/>
        <v>0</v>
      </c>
      <c r="K14" s="109">
        <v>1</v>
      </c>
      <c r="L14" s="92">
        <f t="shared" si="3"/>
        <v>48880.237000000001</v>
      </c>
      <c r="M14" s="93">
        <f t="shared" si="4"/>
        <v>1</v>
      </c>
      <c r="N14" s="109"/>
      <c r="O14" s="92">
        <f t="shared" si="5"/>
        <v>0</v>
      </c>
      <c r="P14" s="93">
        <f t="shared" si="6"/>
        <v>1</v>
      </c>
      <c r="Q14" s="109"/>
      <c r="R14" s="92">
        <f t="shared" si="7"/>
        <v>0</v>
      </c>
      <c r="S14" s="93">
        <f t="shared" si="8"/>
        <v>1</v>
      </c>
      <c r="T14" s="109"/>
      <c r="U14" s="92">
        <f t="shared" si="9"/>
        <v>0</v>
      </c>
      <c r="V14" s="93">
        <f t="shared" si="10"/>
        <v>1</v>
      </c>
    </row>
    <row r="15" spans="1:23" ht="12.75" customHeight="1">
      <c r="A15" s="81">
        <v>4</v>
      </c>
      <c r="B15" s="82" t="s">
        <v>78</v>
      </c>
      <c r="C15" s="83"/>
      <c r="D15" s="84"/>
      <c r="E15" s="85"/>
      <c r="F15" s="86"/>
      <c r="G15" s="87"/>
      <c r="H15" s="85"/>
      <c r="I15" s="86"/>
      <c r="J15" s="87"/>
      <c r="K15" s="85"/>
      <c r="L15" s="86"/>
      <c r="M15" s="87"/>
      <c r="N15" s="85"/>
      <c r="O15" s="86"/>
      <c r="P15" s="87"/>
      <c r="Q15" s="85"/>
      <c r="R15" s="86"/>
      <c r="S15" s="87"/>
      <c r="T15" s="85"/>
      <c r="U15" s="86"/>
      <c r="V15" s="87"/>
    </row>
    <row r="16" spans="1:23" ht="12.75" customHeight="1">
      <c r="A16" s="88" t="s">
        <v>79</v>
      </c>
      <c r="B16" s="89" t="s">
        <v>80</v>
      </c>
      <c r="C16" s="90">
        <f>0.3*Planilha!$K$24</f>
        <v>41897.345999999998</v>
      </c>
      <c r="D16" s="91">
        <f>IF(C16=0,0,C16/$C$25)</f>
        <v>0.30000000000000004</v>
      </c>
      <c r="E16" s="109"/>
      <c r="F16" s="92">
        <f t="shared" si="11"/>
        <v>0</v>
      </c>
      <c r="G16" s="93">
        <f t="shared" si="0"/>
        <v>0</v>
      </c>
      <c r="H16" s="109"/>
      <c r="I16" s="92">
        <f t="shared" si="1"/>
        <v>0</v>
      </c>
      <c r="J16" s="93">
        <f t="shared" si="2"/>
        <v>0</v>
      </c>
      <c r="K16" s="109"/>
      <c r="L16" s="92">
        <f t="shared" si="3"/>
        <v>0</v>
      </c>
      <c r="M16" s="93">
        <f t="shared" si="4"/>
        <v>0</v>
      </c>
      <c r="N16" s="109">
        <v>1</v>
      </c>
      <c r="O16" s="92">
        <f t="shared" si="5"/>
        <v>41897.345999999998</v>
      </c>
      <c r="P16" s="93">
        <f t="shared" si="6"/>
        <v>1</v>
      </c>
      <c r="Q16" s="109"/>
      <c r="R16" s="92">
        <f t="shared" si="7"/>
        <v>0</v>
      </c>
      <c r="S16" s="93">
        <f t="shared" si="8"/>
        <v>1</v>
      </c>
      <c r="T16" s="109"/>
      <c r="U16" s="92">
        <f t="shared" si="9"/>
        <v>0</v>
      </c>
      <c r="V16" s="93">
        <f t="shared" si="10"/>
        <v>1</v>
      </c>
    </row>
    <row r="17" spans="1:23" ht="12.75" customHeight="1">
      <c r="A17" s="81">
        <v>5</v>
      </c>
      <c r="B17" s="82" t="s">
        <v>81</v>
      </c>
      <c r="C17" s="83"/>
      <c r="D17" s="84"/>
      <c r="E17" s="85"/>
      <c r="F17" s="86"/>
      <c r="G17" s="87"/>
      <c r="H17" s="85"/>
      <c r="I17" s="86"/>
      <c r="J17" s="87"/>
      <c r="K17" s="85"/>
      <c r="L17" s="86"/>
      <c r="M17" s="87"/>
      <c r="N17" s="85"/>
      <c r="O17" s="86"/>
      <c r="P17" s="87"/>
      <c r="Q17" s="85"/>
      <c r="R17" s="86"/>
      <c r="S17" s="87"/>
      <c r="T17" s="85"/>
      <c r="U17" s="86"/>
      <c r="V17" s="87"/>
    </row>
    <row r="18" spans="1:23" ht="12.75" customHeight="1">
      <c r="A18" s="88" t="s">
        <v>82</v>
      </c>
      <c r="B18" s="89" t="s">
        <v>83</v>
      </c>
      <c r="C18" s="90">
        <f>0.15*Planilha!$K$24</f>
        <v>20948.672999999999</v>
      </c>
      <c r="D18" s="91">
        <f>IF(C18=0,0,C18/$C$25)</f>
        <v>0.15000000000000002</v>
      </c>
      <c r="E18" s="109"/>
      <c r="F18" s="92">
        <f t="shared" si="11"/>
        <v>0</v>
      </c>
      <c r="G18" s="93">
        <f t="shared" si="0"/>
        <v>0</v>
      </c>
      <c r="H18" s="109"/>
      <c r="I18" s="92">
        <f t="shared" si="1"/>
        <v>0</v>
      </c>
      <c r="J18" s="93">
        <f t="shared" si="2"/>
        <v>0</v>
      </c>
      <c r="K18" s="109"/>
      <c r="L18" s="92">
        <f t="shared" si="3"/>
        <v>0</v>
      </c>
      <c r="M18" s="93">
        <f t="shared" si="4"/>
        <v>0</v>
      </c>
      <c r="N18" s="109"/>
      <c r="O18" s="92">
        <f t="shared" si="5"/>
        <v>0</v>
      </c>
      <c r="P18" s="93">
        <f t="shared" si="6"/>
        <v>0</v>
      </c>
      <c r="Q18" s="109">
        <v>1</v>
      </c>
      <c r="R18" s="92">
        <f t="shared" si="7"/>
        <v>20948.672999999999</v>
      </c>
      <c r="S18" s="93">
        <f t="shared" si="8"/>
        <v>1</v>
      </c>
      <c r="T18" s="109"/>
      <c r="U18" s="92">
        <f t="shared" si="9"/>
        <v>0</v>
      </c>
      <c r="V18" s="93">
        <f t="shared" si="10"/>
        <v>1</v>
      </c>
    </row>
    <row r="19" spans="1:23" ht="12.75" customHeight="1">
      <c r="A19" s="81">
        <v>6</v>
      </c>
      <c r="B19" s="82" t="s">
        <v>84</v>
      </c>
      <c r="C19" s="83"/>
      <c r="D19" s="84"/>
      <c r="E19" s="85"/>
      <c r="F19" s="86"/>
      <c r="G19" s="87"/>
      <c r="H19" s="85"/>
      <c r="I19" s="86"/>
      <c r="J19" s="87"/>
      <c r="K19" s="85"/>
      <c r="L19" s="86"/>
      <c r="M19" s="87"/>
      <c r="N19" s="85"/>
      <c r="O19" s="86"/>
      <c r="P19" s="87"/>
      <c r="Q19" s="85"/>
      <c r="R19" s="86"/>
      <c r="S19" s="87"/>
      <c r="T19" s="85"/>
      <c r="U19" s="86"/>
      <c r="V19" s="87"/>
    </row>
    <row r="20" spans="1:23" ht="12.75" customHeight="1">
      <c r="A20" s="88" t="s">
        <v>85</v>
      </c>
      <c r="B20" s="89" t="s">
        <v>86</v>
      </c>
      <c r="C20" s="90">
        <f>0.05*Planilha!$K$24</f>
        <v>6982.8910000000005</v>
      </c>
      <c r="D20" s="91">
        <f>IF(C20=0,0,C20/$C$25)</f>
        <v>5.000000000000001E-2</v>
      </c>
      <c r="E20" s="109"/>
      <c r="F20" s="92">
        <f t="shared" si="11"/>
        <v>0</v>
      </c>
      <c r="G20" s="93">
        <f t="shared" si="0"/>
        <v>0</v>
      </c>
      <c r="H20" s="109"/>
      <c r="I20" s="92">
        <f t="shared" si="1"/>
        <v>0</v>
      </c>
      <c r="J20" s="93">
        <f t="shared" si="2"/>
        <v>0</v>
      </c>
      <c r="K20" s="109"/>
      <c r="L20" s="92">
        <f t="shared" si="3"/>
        <v>0</v>
      </c>
      <c r="M20" s="93">
        <f t="shared" si="4"/>
        <v>0</v>
      </c>
      <c r="N20" s="109"/>
      <c r="O20" s="92">
        <f t="shared" si="5"/>
        <v>0</v>
      </c>
      <c r="P20" s="93">
        <f t="shared" si="6"/>
        <v>0</v>
      </c>
      <c r="Q20" s="109">
        <v>1</v>
      </c>
      <c r="R20" s="92">
        <f t="shared" si="7"/>
        <v>6982.8910000000005</v>
      </c>
      <c r="S20" s="93">
        <f t="shared" si="8"/>
        <v>1</v>
      </c>
      <c r="T20" s="109"/>
      <c r="U20" s="92">
        <f t="shared" si="9"/>
        <v>0</v>
      </c>
      <c r="V20" s="93">
        <f t="shared" si="10"/>
        <v>1</v>
      </c>
    </row>
    <row r="21" spans="1:23" ht="12.75" customHeight="1">
      <c r="A21" s="81">
        <v>7</v>
      </c>
      <c r="B21" s="82" t="s">
        <v>87</v>
      </c>
      <c r="C21" s="83"/>
      <c r="D21" s="84"/>
      <c r="E21" s="85"/>
      <c r="F21" s="86"/>
      <c r="G21" s="87"/>
      <c r="H21" s="85"/>
      <c r="I21" s="86"/>
      <c r="J21" s="87"/>
      <c r="K21" s="85"/>
      <c r="L21" s="86"/>
      <c r="M21" s="87"/>
      <c r="N21" s="85"/>
      <c r="O21" s="86"/>
      <c r="P21" s="87"/>
      <c r="Q21" s="85"/>
      <c r="R21" s="86"/>
      <c r="S21" s="87"/>
      <c r="T21" s="85"/>
      <c r="U21" s="86"/>
      <c r="V21" s="87"/>
    </row>
    <row r="22" spans="1:23" ht="12.75" customHeight="1">
      <c r="A22" s="88" t="s">
        <v>88</v>
      </c>
      <c r="B22" s="89" t="s">
        <v>89</v>
      </c>
      <c r="C22" s="90">
        <f>IF((0.05*Planilha!$K$24+C10+C12+C14+C16+C18+C20)=Planilha!$K$24,0.05*Planilha!$K$24,Planilha!$K$24-C10-C12-C14-C16-C18-C20)</f>
        <v>6982.8910000000005</v>
      </c>
      <c r="D22" s="91">
        <f>IF(C22=0,0,C22/$C$25)</f>
        <v>5.000000000000001E-2</v>
      </c>
      <c r="E22" s="109"/>
      <c r="F22" s="92">
        <f t="shared" si="11"/>
        <v>0</v>
      </c>
      <c r="G22" s="93">
        <f t="shared" si="0"/>
        <v>0</v>
      </c>
      <c r="H22" s="109"/>
      <c r="I22" s="92">
        <f t="shared" si="1"/>
        <v>0</v>
      </c>
      <c r="J22" s="93">
        <f t="shared" si="2"/>
        <v>0</v>
      </c>
      <c r="K22" s="109"/>
      <c r="L22" s="92">
        <f t="shared" si="3"/>
        <v>0</v>
      </c>
      <c r="M22" s="93">
        <f t="shared" si="4"/>
        <v>0</v>
      </c>
      <c r="N22" s="109"/>
      <c r="O22" s="92">
        <f t="shared" si="5"/>
        <v>0</v>
      </c>
      <c r="P22" s="93">
        <f t="shared" si="6"/>
        <v>0</v>
      </c>
      <c r="Q22" s="109"/>
      <c r="R22" s="92">
        <f t="shared" si="7"/>
        <v>0</v>
      </c>
      <c r="S22" s="93">
        <f t="shared" si="8"/>
        <v>0</v>
      </c>
      <c r="T22" s="109">
        <v>1</v>
      </c>
      <c r="U22" s="92">
        <f t="shared" si="9"/>
        <v>6982.8910000000005</v>
      </c>
      <c r="V22" s="93">
        <f t="shared" si="10"/>
        <v>1</v>
      </c>
    </row>
    <row r="23" spans="1:23">
      <c r="D23" s="94"/>
    </row>
    <row r="24" spans="1:23">
      <c r="B24" s="95" t="s">
        <v>90</v>
      </c>
      <c r="C24" s="33"/>
      <c r="D24" s="96">
        <f>SUM(D9:D22)</f>
        <v>1.0000000000000002</v>
      </c>
      <c r="E24" s="110">
        <f>IF($C$25&lt;&gt;0,F24/$C$25,0)</f>
        <v>5.000000000000001E-2</v>
      </c>
      <c r="F24" s="97">
        <f>SUM(F9:F22)</f>
        <v>6982.8910000000005</v>
      </c>
      <c r="G24" s="98">
        <f>E25/$C$25</f>
        <v>5.000000000000001E-2</v>
      </c>
      <c r="H24" s="110">
        <f>IF($C$25&lt;&gt;0,I24/$C$25,0)</f>
        <v>5.000000000000001E-2</v>
      </c>
      <c r="I24" s="97">
        <f>SUM(I9:I22)</f>
        <v>6982.8910000000005</v>
      </c>
      <c r="J24" s="98">
        <f>(G25+I24)/$C$25</f>
        <v>0.10000000000000002</v>
      </c>
      <c r="K24" s="110">
        <f>IF($C$25&lt;&gt;0,L24/$C$25,0)</f>
        <v>0.35000000000000009</v>
      </c>
      <c r="L24" s="97">
        <f>SUM(L9:L22)</f>
        <v>48880.237000000001</v>
      </c>
      <c r="M24" s="98">
        <f>(J25+L24)/$C$25</f>
        <v>0.45000000000000007</v>
      </c>
      <c r="N24" s="110">
        <f>IF($C$25&lt;&gt;0,O24/$C$25,0)</f>
        <v>0.30000000000000004</v>
      </c>
      <c r="O24" s="97">
        <f>SUM(O9:O22)</f>
        <v>41897.345999999998</v>
      </c>
      <c r="P24" s="98">
        <f>(M25+O24)/$C$25</f>
        <v>0.75</v>
      </c>
      <c r="Q24" s="110">
        <f>IF($C$25&lt;&gt;0,R24/$C$25,0)</f>
        <v>0.2</v>
      </c>
      <c r="R24" s="97">
        <f>SUM(R9:R22)</f>
        <v>27931.563999999998</v>
      </c>
      <c r="S24" s="98">
        <f>(P25+R24)/$C$25</f>
        <v>0.95000000000000018</v>
      </c>
      <c r="T24" s="110">
        <f>IF($C$25&lt;&gt;0,U24/$C$25,0)</f>
        <v>5.000000000000001E-2</v>
      </c>
      <c r="U24" s="97">
        <f>SUM(U9:U22)</f>
        <v>6982.8910000000005</v>
      </c>
      <c r="V24" s="98">
        <f>(S25+U24)/$C$25</f>
        <v>1.0000000000000002</v>
      </c>
    </row>
    <row r="25" spans="1:23">
      <c r="B25" s="95" t="s">
        <v>91</v>
      </c>
      <c r="C25" s="99">
        <f>SUM(C9:C22)</f>
        <v>139657.81999999998</v>
      </c>
      <c r="D25" s="99"/>
      <c r="E25" s="111">
        <f>F24</f>
        <v>6982.8910000000005</v>
      </c>
      <c r="F25" s="100"/>
      <c r="G25" s="101">
        <f>IF(G24=1,C25,E25)</f>
        <v>6982.8910000000005</v>
      </c>
      <c r="H25" s="111">
        <f>I24</f>
        <v>6982.8910000000005</v>
      </c>
      <c r="I25" s="102"/>
      <c r="J25" s="101">
        <f>IF(J24=1,$C$25,G25+I24)</f>
        <v>13965.782000000001</v>
      </c>
      <c r="K25" s="111">
        <f>L24</f>
        <v>48880.237000000001</v>
      </c>
      <c r="L25" s="102"/>
      <c r="M25" s="101">
        <f>IF(M24=1,$C$25,J25+L24)</f>
        <v>62846.019</v>
      </c>
      <c r="N25" s="111">
        <f>O24</f>
        <v>41897.345999999998</v>
      </c>
      <c r="O25" s="102"/>
      <c r="P25" s="101">
        <f>IF(P24=1,$C$25,M25+O24)</f>
        <v>104743.36499999999</v>
      </c>
      <c r="Q25" s="111">
        <f>R24</f>
        <v>27931.563999999998</v>
      </c>
      <c r="R25" s="102"/>
      <c r="S25" s="101">
        <f>IF(S24=1,$C$25,P25+R24)</f>
        <v>132674.929</v>
      </c>
      <c r="T25" s="111">
        <f>U24</f>
        <v>6982.8910000000005</v>
      </c>
      <c r="U25" s="102"/>
      <c r="V25" s="101">
        <f>IF(V24=1,$C$25,S25+U24)</f>
        <v>139657.81999999998</v>
      </c>
    </row>
    <row r="26" spans="1:23">
      <c r="D26" s="94"/>
      <c r="E26" s="4"/>
      <c r="F26" s="4"/>
      <c r="G26" s="103"/>
      <c r="J26" s="103"/>
      <c r="M26" s="103"/>
      <c r="P26" s="103"/>
      <c r="S26" s="103"/>
      <c r="V26" s="103"/>
    </row>
    <row r="27" spans="1:23">
      <c r="D27" s="94"/>
      <c r="E27" s="4"/>
      <c r="F27" s="4"/>
      <c r="G27" s="103"/>
      <c r="J27" s="103"/>
      <c r="M27" s="103"/>
      <c r="P27" s="103"/>
      <c r="S27" s="103"/>
      <c r="V27" s="103"/>
    </row>
    <row r="28" spans="1:23">
      <c r="D28" s="94"/>
      <c r="E28" s="4"/>
      <c r="F28" s="4"/>
      <c r="G28" s="103"/>
      <c r="J28" s="103"/>
      <c r="M28" s="103"/>
      <c r="P28" s="103"/>
      <c r="S28" s="103"/>
      <c r="V28" s="103"/>
    </row>
    <row r="29" spans="1:23">
      <c r="E29" s="94"/>
      <c r="H29" s="94"/>
      <c r="K29" s="94"/>
      <c r="S29" s="2"/>
      <c r="T29" s="2"/>
      <c r="U29" s="104"/>
      <c r="V29" s="2"/>
      <c r="W29" s="49"/>
    </row>
    <row r="30" spans="1:23">
      <c r="D30" s="4"/>
      <c r="N30" s="105"/>
      <c r="O30" s="106"/>
      <c r="P30" s="38"/>
      <c r="Q30" s="39"/>
      <c r="R30" s="38"/>
      <c r="S30" s="40"/>
      <c r="T30" s="41"/>
      <c r="U30" s="107"/>
      <c r="V30" s="108"/>
    </row>
    <row r="31" spans="1:23">
      <c r="N31" s="114" t="s">
        <v>58</v>
      </c>
      <c r="O31" s="114"/>
      <c r="P31" s="114"/>
      <c r="Q31" s="114"/>
      <c r="R31" s="114"/>
      <c r="S31" s="114"/>
      <c r="T31" s="114"/>
      <c r="U31" s="114"/>
      <c r="V31" s="114"/>
    </row>
    <row r="32" spans="1:23">
      <c r="S32" s="2"/>
      <c r="T32" s="2"/>
      <c r="U32" s="104"/>
      <c r="V32" s="2"/>
    </row>
    <row r="33" spans="19:22">
      <c r="S33" s="2"/>
      <c r="T33" s="2"/>
      <c r="U33" s="104"/>
      <c r="V33" s="2"/>
    </row>
    <row r="34" spans="19:22">
      <c r="S34" s="2"/>
      <c r="T34" s="2"/>
      <c r="U34" s="104"/>
      <c r="V34" s="2"/>
    </row>
  </sheetData>
  <sheetProtection password="B882" sheet="1" formatCells="0" formatColumns="0" formatRows="0" insertColumns="0" insertRows="0" insertHyperlinks="0" deleteColumns="0" deleteRows="0" sort="0" autoFilter="0" pivotTables="0"/>
  <mergeCells count="12">
    <mergeCell ref="C2:V2"/>
    <mergeCell ref="E7:G7"/>
    <mergeCell ref="H7:J7"/>
    <mergeCell ref="K7:M7"/>
    <mergeCell ref="N7:P7"/>
    <mergeCell ref="A7:A8"/>
    <mergeCell ref="B7:B8"/>
    <mergeCell ref="C7:C8"/>
    <mergeCell ref="D7:D8"/>
    <mergeCell ref="N31:V31"/>
    <mergeCell ref="Q7:S7"/>
    <mergeCell ref="T7:V7"/>
  </mergeCells>
  <phoneticPr fontId="0" type="noConversion"/>
  <conditionalFormatting sqref="E9:F22 H9:I22 K9:L22 N9:O22 Q9:R22 T9:T22">
    <cfRule type="expression" dxfId="8" priority="1" stopIfTrue="1">
      <formula>IF(G9="ERR",TRUE,FALSE)</formula>
    </cfRule>
  </conditionalFormatting>
  <conditionalFormatting sqref="S24 P24 M24 V24 G24 J24">
    <cfRule type="cellIs" dxfId="7" priority="2" stopIfTrue="1" operator="equal">
      <formula>1</formula>
    </cfRule>
    <cfRule type="cellIs" dxfId="6" priority="3" stopIfTrue="1" operator="equal">
      <formula>"ERR"</formula>
    </cfRule>
  </conditionalFormatting>
  <conditionalFormatting sqref="G25 J25 M25 P25 S25 V25">
    <cfRule type="cellIs" dxfId="5" priority="4" stopIfTrue="1" operator="equal">
      <formula>$C$25</formula>
    </cfRule>
    <cfRule type="cellIs" dxfId="4" priority="5" stopIfTrue="1" operator="greaterThan">
      <formula>$C$25</formula>
    </cfRule>
  </conditionalFormatting>
  <conditionalFormatting sqref="U9:U22">
    <cfRule type="expression" dxfId="3" priority="6" stopIfTrue="1">
      <formula>IF(#REF!="ERR",TRUE,FALSE)</formula>
    </cfRule>
  </conditionalFormatting>
  <conditionalFormatting sqref="V9:V22 S9:S22 P9:P22 M9:M22 J9:J22 G9:G22">
    <cfRule type="cellIs" dxfId="2" priority="7" stopIfTrue="1" operator="equal">
      <formula>1</formula>
    </cfRule>
    <cfRule type="cellIs" dxfId="1" priority="8" stopIfTrue="1" operator="equal">
      <formula>"ERR"</formula>
    </cfRule>
    <cfRule type="cellIs" dxfId="0" priority="9" stopIfTrue="1" operator="lessThan">
      <formula>1</formula>
    </cfRule>
  </conditionalFormatting>
  <printOptions horizontalCentered="1"/>
  <pageMargins left="0.59055118110236227" right="0.59055118110236227" top="0.78740157480314965" bottom="0.78740157480314965" header="0.51181102362204722" footer="0.51181102362204722"/>
  <pageSetup paperSize="9" scale="70" orientation="landscape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</vt:lpstr>
      <vt:lpstr>Cronograma</vt:lpstr>
      <vt:lpstr>Cronograma!Area_de_impressao</vt:lpstr>
    </vt:vector>
  </TitlesOfParts>
  <Company>Caixa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Caixa</dc:creator>
  <cp:lastModifiedBy>xx</cp:lastModifiedBy>
  <cp:lastPrinted>2015-03-25T20:32:06Z</cp:lastPrinted>
  <dcterms:created xsi:type="dcterms:W3CDTF">2015-03-25T19:50:27Z</dcterms:created>
  <dcterms:modified xsi:type="dcterms:W3CDTF">2015-06-18T13:08:43Z</dcterms:modified>
</cp:coreProperties>
</file>